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2023上期安全衛生大会\"/>
    </mc:Choice>
  </mc:AlternateContent>
  <xr:revisionPtr revIDLastSave="0" documentId="8_{624FC115-6116-4E69-B21C-CBAC464C09A0}" xr6:coauthVersionLast="47" xr6:coauthVersionMax="47" xr10:uidLastSave="{00000000-0000-0000-0000-000000000000}"/>
  <bookViews>
    <workbookView xWindow="-120" yWindow="-120" windowWidth="29040" windowHeight="15840" tabRatio="833" xr2:uid="{00000000-000D-0000-FFFF-FFFF00000000}"/>
  </bookViews>
  <sheets>
    <sheet name="回答用紙" sheetId="3" r:id="rId1"/>
    <sheet name="回答用紙 (2)" sheetId="4" r:id="rId2"/>
    <sheet name="マッピング" sheetId="5" r:id="rId3"/>
  </sheets>
  <definedNames>
    <definedName name="_xlnm.Print_Area" localSheetId="2">マッピング!$A$1:$Y$25</definedName>
    <definedName name="_xlnm.Print_Area" localSheetId="0">回答用紙!$A$2:$J$25</definedName>
    <definedName name="_xlnm.Print_Area" localSheetId="1">'回答用紙 (2)'!$A$2:$J$25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4" l="1"/>
  <c r="D26" i="4"/>
  <c r="I26" i="3"/>
  <c r="D26" i="3"/>
  <c r="Y23" i="5" l="1"/>
  <c r="X23" i="5"/>
  <c r="H23" i="5"/>
  <c r="M22" i="5"/>
  <c r="S21" i="5"/>
  <c r="Y20" i="5"/>
  <c r="I20" i="5"/>
  <c r="O19" i="5"/>
  <c r="U18" i="5"/>
  <c r="E18" i="5"/>
  <c r="K17" i="5"/>
  <c r="Q16" i="5"/>
  <c r="W15" i="5"/>
  <c r="G15" i="5"/>
  <c r="M14" i="5"/>
  <c r="S13" i="5"/>
  <c r="Y12" i="5"/>
  <c r="I12" i="5"/>
  <c r="O11" i="5"/>
  <c r="U10" i="5"/>
  <c r="E10" i="5"/>
  <c r="K9" i="5"/>
  <c r="Q8" i="5"/>
  <c r="W7" i="5"/>
  <c r="G7" i="5"/>
  <c r="M6" i="5"/>
  <c r="S5" i="5"/>
  <c r="Y4" i="5"/>
  <c r="I4" i="5"/>
  <c r="O3" i="5"/>
  <c r="U2" i="5"/>
  <c r="E2" i="5"/>
  <c r="R12" i="5"/>
  <c r="L5" i="5"/>
  <c r="E22" i="5"/>
  <c r="S17" i="5"/>
  <c r="K13" i="5"/>
  <c r="O7" i="5"/>
  <c r="W23" i="5"/>
  <c r="G23" i="5"/>
  <c r="L22" i="5"/>
  <c r="R21" i="5"/>
  <c r="X20" i="5"/>
  <c r="H20" i="5"/>
  <c r="N19" i="5"/>
  <c r="T18" i="5"/>
  <c r="D18" i="5"/>
  <c r="J17" i="5"/>
  <c r="P16" i="5"/>
  <c r="V15" i="5"/>
  <c r="F15" i="5"/>
  <c r="L14" i="5"/>
  <c r="R13" i="5"/>
  <c r="X12" i="5"/>
  <c r="H12" i="5"/>
  <c r="N11" i="5"/>
  <c r="T10" i="5"/>
  <c r="D10" i="5"/>
  <c r="J9" i="5"/>
  <c r="P8" i="5"/>
  <c r="V7" i="5"/>
  <c r="F7" i="5"/>
  <c r="L6" i="5"/>
  <c r="R5" i="5"/>
  <c r="X4" i="5"/>
  <c r="H4" i="5"/>
  <c r="N3" i="5"/>
  <c r="T2" i="5"/>
  <c r="D2" i="5"/>
  <c r="H19" i="5"/>
  <c r="F14" i="5"/>
  <c r="N10" i="5"/>
  <c r="F6" i="5"/>
  <c r="U22" i="5"/>
  <c r="Y16" i="5"/>
  <c r="I8" i="5"/>
  <c r="V23" i="5"/>
  <c r="F23" i="5"/>
  <c r="K22" i="5"/>
  <c r="Q21" i="5"/>
  <c r="W20" i="5"/>
  <c r="G20" i="5"/>
  <c r="M19" i="5"/>
  <c r="S18" i="5"/>
  <c r="Y17" i="5"/>
  <c r="I17" i="5"/>
  <c r="O16" i="5"/>
  <c r="U15" i="5"/>
  <c r="E15" i="5"/>
  <c r="K14" i="5"/>
  <c r="Q13" i="5"/>
  <c r="W12" i="5"/>
  <c r="G12" i="5"/>
  <c r="M11" i="5"/>
  <c r="S10" i="5"/>
  <c r="Y9" i="5"/>
  <c r="I9" i="5"/>
  <c r="O8" i="5"/>
  <c r="U7" i="5"/>
  <c r="E7" i="5"/>
  <c r="K6" i="5"/>
  <c r="Q5" i="5"/>
  <c r="W4" i="5"/>
  <c r="G4" i="5"/>
  <c r="M3" i="5"/>
  <c r="S2" i="5"/>
  <c r="F22" i="5"/>
  <c r="T17" i="5"/>
  <c r="X11" i="5"/>
  <c r="V6" i="5"/>
  <c r="K21" i="5"/>
  <c r="G11" i="5"/>
  <c r="U23" i="5"/>
  <c r="E23" i="5"/>
  <c r="J22" i="5"/>
  <c r="P21" i="5"/>
  <c r="V20" i="5"/>
  <c r="F20" i="5"/>
  <c r="L19" i="5"/>
  <c r="R18" i="5"/>
  <c r="X17" i="5"/>
  <c r="H17" i="5"/>
  <c r="N16" i="5"/>
  <c r="T15" i="5"/>
  <c r="D15" i="5"/>
  <c r="J14" i="5"/>
  <c r="P13" i="5"/>
  <c r="V12" i="5"/>
  <c r="F12" i="5"/>
  <c r="L11" i="5"/>
  <c r="R10" i="5"/>
  <c r="X9" i="5"/>
  <c r="H9" i="5"/>
  <c r="N8" i="5"/>
  <c r="T7" i="5"/>
  <c r="D7" i="5"/>
  <c r="J6" i="5"/>
  <c r="P5" i="5"/>
  <c r="V4" i="5"/>
  <c r="F4" i="5"/>
  <c r="L3" i="5"/>
  <c r="R2" i="5"/>
  <c r="Q2" i="5"/>
  <c r="L21" i="5"/>
  <c r="N18" i="5"/>
  <c r="D17" i="5"/>
  <c r="L13" i="5"/>
  <c r="H11" i="5"/>
  <c r="P7" i="5"/>
  <c r="X3" i="5"/>
  <c r="Q20" i="5"/>
  <c r="I16" i="5"/>
  <c r="Y8" i="5"/>
  <c r="M2" i="5"/>
  <c r="T23" i="5"/>
  <c r="Y22" i="5"/>
  <c r="I22" i="5"/>
  <c r="O21" i="5"/>
  <c r="U20" i="5"/>
  <c r="E20" i="5"/>
  <c r="K19" i="5"/>
  <c r="Q18" i="5"/>
  <c r="W17" i="5"/>
  <c r="G17" i="5"/>
  <c r="M16" i="5"/>
  <c r="S15" i="5"/>
  <c r="Y14" i="5"/>
  <c r="I14" i="5"/>
  <c r="O13" i="5"/>
  <c r="U12" i="5"/>
  <c r="E12" i="5"/>
  <c r="K11" i="5"/>
  <c r="Q10" i="5"/>
  <c r="W9" i="5"/>
  <c r="G9" i="5"/>
  <c r="M8" i="5"/>
  <c r="S7" i="5"/>
  <c r="Y6" i="5"/>
  <c r="I6" i="5"/>
  <c r="O5" i="5"/>
  <c r="U4" i="5"/>
  <c r="E4" i="5"/>
  <c r="K3" i="5"/>
  <c r="R20" i="5"/>
  <c r="P15" i="5"/>
  <c r="J8" i="5"/>
  <c r="N2" i="5"/>
  <c r="M18" i="5"/>
  <c r="Q12" i="5"/>
  <c r="U6" i="5"/>
  <c r="S23" i="5"/>
  <c r="X22" i="5"/>
  <c r="H22" i="5"/>
  <c r="N21" i="5"/>
  <c r="T20" i="5"/>
  <c r="D20" i="5"/>
  <c r="J19" i="5"/>
  <c r="P18" i="5"/>
  <c r="V17" i="5"/>
  <c r="F17" i="5"/>
  <c r="L16" i="5"/>
  <c r="R15" i="5"/>
  <c r="X14" i="5"/>
  <c r="H14" i="5"/>
  <c r="N13" i="5"/>
  <c r="T12" i="5"/>
  <c r="D12" i="5"/>
  <c r="J11" i="5"/>
  <c r="P10" i="5"/>
  <c r="V9" i="5"/>
  <c r="F9" i="5"/>
  <c r="L8" i="5"/>
  <c r="R7" i="5"/>
  <c r="X6" i="5"/>
  <c r="H6" i="5"/>
  <c r="N5" i="5"/>
  <c r="T4" i="5"/>
  <c r="D4" i="5"/>
  <c r="J3" i="5"/>
  <c r="P2" i="5"/>
  <c r="X19" i="5"/>
  <c r="V14" i="5"/>
  <c r="T9" i="5"/>
  <c r="R4" i="5"/>
  <c r="W19" i="5"/>
  <c r="M10" i="5"/>
  <c r="Q4" i="5"/>
  <c r="R23" i="5"/>
  <c r="W22" i="5"/>
  <c r="G22" i="5"/>
  <c r="M21" i="5"/>
  <c r="S20" i="5"/>
  <c r="Y19" i="5"/>
  <c r="I19" i="5"/>
  <c r="O18" i="5"/>
  <c r="U17" i="5"/>
  <c r="E17" i="5"/>
  <c r="K16" i="5"/>
  <c r="Q15" i="5"/>
  <c r="W14" i="5"/>
  <c r="G14" i="5"/>
  <c r="M13" i="5"/>
  <c r="S12" i="5"/>
  <c r="Y11" i="5"/>
  <c r="I11" i="5"/>
  <c r="O10" i="5"/>
  <c r="U9" i="5"/>
  <c r="E9" i="5"/>
  <c r="K8" i="5"/>
  <c r="Q7" i="5"/>
  <c r="W6" i="5"/>
  <c r="G6" i="5"/>
  <c r="M5" i="5"/>
  <c r="S4" i="5"/>
  <c r="Y3" i="5"/>
  <c r="I3" i="5"/>
  <c r="O2" i="5"/>
  <c r="V22" i="5"/>
  <c r="J16" i="5"/>
  <c r="D9" i="5"/>
  <c r="H3" i="5"/>
  <c r="G19" i="5"/>
  <c r="O15" i="5"/>
  <c r="S9" i="5"/>
  <c r="K5" i="5"/>
  <c r="Q23" i="5"/>
  <c r="P23" i="5"/>
  <c r="O23" i="5"/>
  <c r="T22" i="5"/>
  <c r="D22" i="5"/>
  <c r="J21" i="5"/>
  <c r="P20" i="5"/>
  <c r="V19" i="5"/>
  <c r="F19" i="5"/>
  <c r="L18" i="5"/>
  <c r="R17" i="5"/>
  <c r="X16" i="5"/>
  <c r="H16" i="5"/>
  <c r="N15" i="5"/>
  <c r="T14" i="5"/>
  <c r="D14" i="5"/>
  <c r="J13" i="5"/>
  <c r="P12" i="5"/>
  <c r="V11" i="5"/>
  <c r="F11" i="5"/>
  <c r="L10" i="5"/>
  <c r="R9" i="5"/>
  <c r="X8" i="5"/>
  <c r="H8" i="5"/>
  <c r="N7" i="5"/>
  <c r="T6" i="5"/>
  <c r="D6" i="5"/>
  <c r="J5" i="5"/>
  <c r="P4" i="5"/>
  <c r="V3" i="5"/>
  <c r="F3" i="5"/>
  <c r="L2" i="5"/>
  <c r="X21" i="5"/>
  <c r="H21" i="5"/>
  <c r="T19" i="5"/>
  <c r="J18" i="5"/>
  <c r="V16" i="5"/>
  <c r="L15" i="5"/>
  <c r="X13" i="5"/>
  <c r="N12" i="5"/>
  <c r="D11" i="5"/>
  <c r="P9" i="5"/>
  <c r="F8" i="5"/>
  <c r="R6" i="5"/>
  <c r="H5" i="5"/>
  <c r="D3" i="5"/>
  <c r="N23" i="5"/>
  <c r="S22" i="5"/>
  <c r="Y21" i="5"/>
  <c r="I21" i="5"/>
  <c r="O20" i="5"/>
  <c r="U19" i="5"/>
  <c r="E19" i="5"/>
  <c r="K18" i="5"/>
  <c r="Q17" i="5"/>
  <c r="W16" i="5"/>
  <c r="G16" i="5"/>
  <c r="M15" i="5"/>
  <c r="S14" i="5"/>
  <c r="Y13" i="5"/>
  <c r="I13" i="5"/>
  <c r="O12" i="5"/>
  <c r="U11" i="5"/>
  <c r="E11" i="5"/>
  <c r="K10" i="5"/>
  <c r="Q9" i="5"/>
  <c r="W8" i="5"/>
  <c r="G8" i="5"/>
  <c r="M7" i="5"/>
  <c r="S6" i="5"/>
  <c r="Y5" i="5"/>
  <c r="I5" i="5"/>
  <c r="O4" i="5"/>
  <c r="U3" i="5"/>
  <c r="E3" i="5"/>
  <c r="K2" i="5"/>
  <c r="R22" i="5"/>
  <c r="N20" i="5"/>
  <c r="D19" i="5"/>
  <c r="P17" i="5"/>
  <c r="F16" i="5"/>
  <c r="R14" i="5"/>
  <c r="H13" i="5"/>
  <c r="T11" i="5"/>
  <c r="J10" i="5"/>
  <c r="V8" i="5"/>
  <c r="L7" i="5"/>
  <c r="X5" i="5"/>
  <c r="N4" i="5"/>
  <c r="T3" i="5"/>
  <c r="J2" i="5"/>
  <c r="M23" i="5"/>
  <c r="L23" i="5"/>
  <c r="Q22" i="5"/>
  <c r="W21" i="5"/>
  <c r="G21" i="5"/>
  <c r="M20" i="5"/>
  <c r="S19" i="5"/>
  <c r="Y18" i="5"/>
  <c r="I18" i="5"/>
  <c r="O17" i="5"/>
  <c r="U16" i="5"/>
  <c r="E16" i="5"/>
  <c r="K15" i="5"/>
  <c r="Q14" i="5"/>
  <c r="W13" i="5"/>
  <c r="G13" i="5"/>
  <c r="M12" i="5"/>
  <c r="S11" i="5"/>
  <c r="Y10" i="5"/>
  <c r="I10" i="5"/>
  <c r="O9" i="5"/>
  <c r="U8" i="5"/>
  <c r="E8" i="5"/>
  <c r="K7" i="5"/>
  <c r="Q6" i="5"/>
  <c r="W5" i="5"/>
  <c r="G5" i="5"/>
  <c r="M4" i="5"/>
  <c r="S3" i="5"/>
  <c r="Y2" i="5"/>
  <c r="I2" i="5"/>
  <c r="T21" i="5"/>
  <c r="D21" i="5"/>
  <c r="J20" i="5"/>
  <c r="F18" i="5"/>
  <c r="X15" i="5"/>
  <c r="T13" i="5"/>
  <c r="P11" i="5"/>
  <c r="L9" i="5"/>
  <c r="H7" i="5"/>
  <c r="D5" i="5"/>
  <c r="V2" i="5"/>
  <c r="U14" i="5"/>
  <c r="W3" i="5"/>
  <c r="K23" i="5"/>
  <c r="P22" i="5"/>
  <c r="V21" i="5"/>
  <c r="F21" i="5"/>
  <c r="L20" i="5"/>
  <c r="R19" i="5"/>
  <c r="X18" i="5"/>
  <c r="H18" i="5"/>
  <c r="N17" i="5"/>
  <c r="T16" i="5"/>
  <c r="D16" i="5"/>
  <c r="J15" i="5"/>
  <c r="P14" i="5"/>
  <c r="V13" i="5"/>
  <c r="F13" i="5"/>
  <c r="L12" i="5"/>
  <c r="R11" i="5"/>
  <c r="X10" i="5"/>
  <c r="H10" i="5"/>
  <c r="N9" i="5"/>
  <c r="T8" i="5"/>
  <c r="D8" i="5"/>
  <c r="J7" i="5"/>
  <c r="P6" i="5"/>
  <c r="V5" i="5"/>
  <c r="F5" i="5"/>
  <c r="L4" i="5"/>
  <c r="R3" i="5"/>
  <c r="X2" i="5"/>
  <c r="H2" i="5"/>
  <c r="I23" i="5"/>
  <c r="P19" i="5"/>
  <c r="L17" i="5"/>
  <c r="H15" i="5"/>
  <c r="D13" i="5"/>
  <c r="V10" i="5"/>
  <c r="R8" i="5"/>
  <c r="N6" i="5"/>
  <c r="J4" i="5"/>
  <c r="F2" i="5"/>
  <c r="W11" i="5"/>
  <c r="E6" i="5"/>
  <c r="J23" i="5"/>
  <c r="O22" i="5"/>
  <c r="U21" i="5"/>
  <c r="E21" i="5"/>
  <c r="K20" i="5"/>
  <c r="Q19" i="5"/>
  <c r="W18" i="5"/>
  <c r="G18" i="5"/>
  <c r="M17" i="5"/>
  <c r="S16" i="5"/>
  <c r="Y15" i="5"/>
  <c r="I15" i="5"/>
  <c r="O14" i="5"/>
  <c r="U13" i="5"/>
  <c r="E13" i="5"/>
  <c r="K12" i="5"/>
  <c r="Q11" i="5"/>
  <c r="W10" i="5"/>
  <c r="G10" i="5"/>
  <c r="M9" i="5"/>
  <c r="S8" i="5"/>
  <c r="Y7" i="5"/>
  <c r="I7" i="5"/>
  <c r="O6" i="5"/>
  <c r="U5" i="5"/>
  <c r="E5" i="5"/>
  <c r="K4" i="5"/>
  <c r="Q3" i="5"/>
  <c r="W2" i="5"/>
  <c r="G2" i="5"/>
  <c r="N22" i="5"/>
  <c r="V18" i="5"/>
  <c r="R16" i="5"/>
  <c r="N14" i="5"/>
  <c r="J12" i="5"/>
  <c r="F10" i="5"/>
  <c r="X7" i="5"/>
  <c r="T5" i="5"/>
  <c r="P3" i="5"/>
  <c r="E14" i="5"/>
  <c r="G3" i="5"/>
</calcChain>
</file>

<file path=xl/sharedStrings.xml><?xml version="1.0" encoding="utf-8"?>
<sst xmlns="http://schemas.openxmlformats.org/spreadsheetml/2006/main" count="120" uniqueCount="57">
  <si>
    <t>№</t>
  </si>
  <si>
    <t>質問</t>
  </si>
  <si>
    <t>自分の職場は他の職場と比べて危険が少なく、災害は起きないと思う。</t>
  </si>
  <si>
    <t>単独での現場出動でかつ連絡手段がないような場所で業務をすることは怖いと思う。</t>
  </si>
  <si>
    <t>安全のルールは経験の浅い人たちのためにあると思う。</t>
  </si>
  <si>
    <t>昔は怖いと思った危険な作業でも、今は慣れてしまって怖いと思わなくなった作業がある。</t>
  </si>
  <si>
    <t>突発作業でも落ち着いて周囲・同僚の安全も確認しながら作業を行うことができる。</t>
  </si>
  <si>
    <t>どんな（設備）点検でも必ず現物を確認して確実に実施する。（現物を確認せずに点検表に“○”だけ記入するようなことはしない）</t>
  </si>
  <si>
    <t>自分が知らないルールがあったり、決められた理由がわからないルールがある。</t>
  </si>
  <si>
    <t>自分はミスをしないと思う。</t>
  </si>
  <si>
    <t>自分や同僚が災害にあう可能性があると思った場合は、問題が解決するまでキチンと対応するようにしている。</t>
  </si>
  <si>
    <t>定型的でない作業を行っている途中で作業内容の変更や状況の変化があったときは、必ず事前にその変化に応じたＫＹを実施している。</t>
  </si>
  <si>
    <t>同僚や家族等が不安全な状態にいるときは、その場で注意するようにしている。</t>
  </si>
  <si>
    <t>階段を駆け下りたり、段を飛ばして下りることがある。</t>
  </si>
  <si>
    <t>日常使用するガラスや陶器の食器が少し割れて欠けた部分があれば処分してしまう。</t>
  </si>
  <si>
    <t>車に乗るときは、後部座席に座る場合を含めて必ずシートベルトを着用する。</t>
  </si>
  <si>
    <t>歩いている（走っている）とき、曲がり角などで他の人と出会い頭にぶつかってしまったり、ぶつかりそうになったりしたことがある。</t>
  </si>
  <si>
    <t>時間がかかっても正しい安全作業を行うことは格好いいと思う。</t>
  </si>
  <si>
    <t>ハットヒヤリがあっても報告しない場合がある。</t>
  </si>
  <si>
    <t>うっかり・ぼんやりミスや手抜きを無くすためには本人がしっかりすればいいと思う。</t>
  </si>
  <si>
    <t>自分の安全と健康は自分や家族にとってかけがえのないものだと思う。</t>
  </si>
  <si>
    <t>単独での業務（作業等）など、誰も見ていないときにルール違反をしてしまうことがある。</t>
  </si>
  <si>
    <t>トラブル対応等で危険な作業が発生したとき、仲間にやらせるわけにはいかないと思う。</t>
  </si>
  <si>
    <t>適切な工具が近くになく、あまり適切でない近くの工具を使うなど、面倒な時につい近道行為をしてしまうことがある。</t>
  </si>
  <si>
    <t>｢後工程に時間がかかって大変だ｣などの理由で、必要な変更管理手続きを省略して業務（作業）を進めてしまうことがある。</t>
  </si>
  <si>
    <t>自分の職場には不安全な行動をしてはならない、という安全に厳しい雰囲気がある。</t>
  </si>
  <si>
    <t>会社や上司は安全にうるさいが、本当は安全よりも効率や品質が第―だと考えていると思う。</t>
  </si>
  <si>
    <t>もし上司、先輩の指示があればルール違反である危険な作業もやらざるを得ないと思う。</t>
  </si>
  <si>
    <t>仕事や日常生活で自分の行動や判断・思い込みが原因でケガや事故につながったり、つながりそうになったことがある。</t>
  </si>
  <si>
    <t>「物が落ちそうになったり、倒れそうになったとき思わず手を出してしまう」、｢他の人に方向を示すなどのために腕を振り上げたとき、別の人に腕を当ててしまう」などのことがある。</t>
  </si>
  <si>
    <t>携帯電話の使用・会話禁止場所（変電所の配電盤付近、車の運転中、病院、電車内、演奏会場など）では必ずルールを守る。</t>
  </si>
  <si>
    <t>職場で自分が模範的な安全行動をしたいと思う。</t>
  </si>
  <si>
    <t>同僚のルール違反を見ても、自分も守れないと思ったら見て見ぬ振りをすることがある。</t>
  </si>
  <si>
    <t>安全に関するルール等でも、おかしいと思ったら上司に意見を言うようにしている。</t>
  </si>
  <si>
    <t>よ〈わからないことは、気軽に上司や同僚に確認することができる。</t>
  </si>
  <si>
    <t>危険と思われる作業を行わなければならないときは、関係者に連絡し、細心の注意を払い安全対策をして行う。</t>
  </si>
  <si>
    <t>（例え大きな）失敗をしてしまっても、素直に報告し謝ることができる。</t>
  </si>
  <si>
    <t>日常生活や仕事の上で、ささいなことも含め同じ失敗（ミス、見逃しなど）をよく繰り返す。</t>
  </si>
  <si>
    <t>車を運転するとき同乗者がシートベルトをするのを確認するまで車を発進させない。</t>
  </si>
  <si>
    <t>突きつめて言えば、安全は個人の問題だと思う。</t>
  </si>
  <si>
    <t>危ないこととはわかっていても、危険なことをしてしまうことがある。</t>
  </si>
  <si>
    <t>自分は絶対にケガをしたくないと思う。</t>
  </si>
  <si>
    <t>Yes</t>
    <phoneticPr fontId="3"/>
  </si>
  <si>
    <t>No</t>
    <phoneticPr fontId="3"/>
  </si>
  <si>
    <r>
      <t>危険</t>
    </r>
    <r>
      <rPr>
        <b/>
        <sz val="11"/>
        <rFont val="ＭＳ Ｐゴシック"/>
        <family val="3"/>
        <charset val="128"/>
      </rPr>
      <t>感受性</t>
    </r>
    <r>
      <rPr>
        <sz val="11"/>
        <rFont val="ＭＳ Ｐゴシック"/>
        <family val="3"/>
        <charset val="128"/>
      </rPr>
      <t>判定チェックリスト（該当にチェックした数）</t>
    </r>
    <rPh sb="0" eb="2">
      <t>キケン</t>
    </rPh>
    <rPh sb="2" eb="5">
      <t>カンジュセイ</t>
    </rPh>
    <rPh sb="5" eb="7">
      <t>ハンテイ</t>
    </rPh>
    <rPh sb="15" eb="17">
      <t>ガイトウ</t>
    </rPh>
    <rPh sb="24" eb="25">
      <t>カズ</t>
    </rPh>
    <phoneticPr fontId="3"/>
  </si>
  <si>
    <r>
      <t>危険</t>
    </r>
    <r>
      <rPr>
        <b/>
        <sz val="11"/>
        <rFont val="ＭＳ Ｐゴシック"/>
        <family val="3"/>
        <charset val="128"/>
      </rPr>
      <t>敢行性</t>
    </r>
    <r>
      <rPr>
        <sz val="11"/>
        <rFont val="ＭＳ Ｐゴシック"/>
        <family val="3"/>
        <charset val="128"/>
      </rPr>
      <t>判定チェックリスト（該当にチェックした数）</t>
    </r>
    <rPh sb="2" eb="4">
      <t>カンコウ</t>
    </rPh>
    <phoneticPr fontId="3"/>
  </si>
  <si>
    <t>Ａ．感受性に関する質問</t>
    <rPh sb="2" eb="5">
      <t>カンジュセイ</t>
    </rPh>
    <rPh sb="6" eb="7">
      <t>カン</t>
    </rPh>
    <rPh sb="9" eb="11">
      <t>シツモン</t>
    </rPh>
    <phoneticPr fontId="3"/>
  </si>
  <si>
    <t>Ｂ．敢行性に関する質問</t>
    <rPh sb="2" eb="4">
      <t>カンコウ</t>
    </rPh>
    <rPh sb="4" eb="5">
      <t>セイ</t>
    </rPh>
    <rPh sb="6" eb="7">
      <t>カン</t>
    </rPh>
    <rPh sb="9" eb="11">
      <t>シツモン</t>
    </rPh>
    <phoneticPr fontId="3"/>
  </si>
  <si>
    <t>行動特性（危険感受性、危険敢行性）のマッピング</t>
    <rPh sb="0" eb="2">
      <t>コウドウ</t>
    </rPh>
    <rPh sb="2" eb="4">
      <t>トクセイ</t>
    </rPh>
    <phoneticPr fontId="3"/>
  </si>
  <si>
    <t>＜回答方法＞
　以下Ａ，Ｂ（合計４２個）の質問にＹｅｓかNoで答えてください。（ドロップダウンで該当するほうに”○”を選択）　
　質問によって、自分の業務・状況に直結しないものがあるかもしれませんがその場合、自分の業務に置き換えたり、類似状況に
照らし合わせるなどして、より近いと思うほうを選択してください。なお、全般的にあまり深く考えすぎず直感的な回答をお願いします。</t>
    <rPh sb="1" eb="3">
      <t>カイトウ</t>
    </rPh>
    <rPh sb="3" eb="5">
      <t>ホウホウ</t>
    </rPh>
    <rPh sb="8" eb="10">
      <t>イカ</t>
    </rPh>
    <rPh sb="14" eb="16">
      <t>ゴウケイ</t>
    </rPh>
    <rPh sb="18" eb="19">
      <t>コ</t>
    </rPh>
    <rPh sb="21" eb="23">
      <t>シツモン</t>
    </rPh>
    <rPh sb="31" eb="32">
      <t>コタ</t>
    </rPh>
    <rPh sb="48" eb="50">
      <t>ガイトウ</t>
    </rPh>
    <rPh sb="59" eb="61">
      <t>センタク</t>
    </rPh>
    <rPh sb="65" eb="67">
      <t>シツモン</t>
    </rPh>
    <rPh sb="72" eb="74">
      <t>ジブン</t>
    </rPh>
    <rPh sb="75" eb="77">
      <t>ギョウム</t>
    </rPh>
    <rPh sb="78" eb="80">
      <t>ジョウキョウ</t>
    </rPh>
    <rPh sb="81" eb="83">
      <t>チョッケツ</t>
    </rPh>
    <rPh sb="101" eb="103">
      <t>バアイ</t>
    </rPh>
    <rPh sb="104" eb="106">
      <t>ジブン</t>
    </rPh>
    <rPh sb="107" eb="109">
      <t>ギョウム</t>
    </rPh>
    <rPh sb="110" eb="111">
      <t>オ</t>
    </rPh>
    <rPh sb="112" eb="113">
      <t>カ</t>
    </rPh>
    <rPh sb="117" eb="119">
      <t>ルイジ</t>
    </rPh>
    <rPh sb="119" eb="121">
      <t>ジョウキョウ</t>
    </rPh>
    <rPh sb="123" eb="124">
      <t>テ</t>
    </rPh>
    <rPh sb="126" eb="127">
      <t>ア</t>
    </rPh>
    <rPh sb="137" eb="138">
      <t>チカ</t>
    </rPh>
    <rPh sb="140" eb="141">
      <t>オモ</t>
    </rPh>
    <rPh sb="145" eb="147">
      <t>センタク</t>
    </rPh>
    <rPh sb="157" eb="159">
      <t>ゼンパン</t>
    </rPh>
    <rPh sb="159" eb="160">
      <t>テキ</t>
    </rPh>
    <rPh sb="164" eb="165">
      <t>フカ</t>
    </rPh>
    <rPh sb="166" eb="167">
      <t>カンガ</t>
    </rPh>
    <rPh sb="171" eb="174">
      <t>チョッカンテキ</t>
    </rPh>
    <rPh sb="175" eb="177">
      <t>カイトウ</t>
    </rPh>
    <rPh sb="179" eb="180">
      <t>ネガ</t>
    </rPh>
    <phoneticPr fontId="3"/>
  </si>
  <si>
    <t>個</t>
    <rPh sb="0" eb="1">
      <t>コ</t>
    </rPh>
    <phoneticPr fontId="3"/>
  </si>
  <si>
    <t>Ｂ．敢行性に関する該当数</t>
    <rPh sb="2" eb="4">
      <t>カンコウ</t>
    </rPh>
    <rPh sb="4" eb="5">
      <t>セイ</t>
    </rPh>
    <rPh sb="6" eb="7">
      <t>カン</t>
    </rPh>
    <rPh sb="9" eb="11">
      <t>ガイトウ</t>
    </rPh>
    <rPh sb="11" eb="12">
      <t>スウ</t>
    </rPh>
    <phoneticPr fontId="3"/>
  </si>
  <si>
    <t>Ａ．感受性に関する該当数</t>
    <rPh sb="2" eb="4">
      <t>カンジュ</t>
    </rPh>
    <rPh sb="4" eb="5">
      <t>セイ</t>
    </rPh>
    <rPh sb="6" eb="7">
      <t>カン</t>
    </rPh>
    <rPh sb="9" eb="11">
      <t>ガイトウ</t>
    </rPh>
    <rPh sb="11" eb="12">
      <t>スウ</t>
    </rPh>
    <phoneticPr fontId="3"/>
  </si>
  <si>
    <t>危険に敏感</t>
    <rPh sb="0" eb="2">
      <t>キケン</t>
    </rPh>
    <rPh sb="3" eb="5">
      <t>ビンカン</t>
    </rPh>
    <phoneticPr fontId="3"/>
  </si>
  <si>
    <t>危険感受性、危険敢行性に関するチェックシート</t>
    <rPh sb="0" eb="2">
      <t>キケン</t>
    </rPh>
    <rPh sb="2" eb="5">
      <t>カンジュセイ</t>
    </rPh>
    <rPh sb="6" eb="8">
      <t>キケン</t>
    </rPh>
    <rPh sb="8" eb="10">
      <t>カンコウ</t>
    </rPh>
    <rPh sb="10" eb="11">
      <t>セイ</t>
    </rPh>
    <rPh sb="12" eb="13">
      <t>カン</t>
    </rPh>
    <phoneticPr fontId="3"/>
  </si>
  <si>
    <t>他現場等の災害報告書を見て、自分の日頃の行動や作業のやり方を振り返ることが多い。</t>
    <rPh sb="1" eb="3">
      <t>ゲンバ</t>
    </rPh>
    <phoneticPr fontId="3"/>
  </si>
  <si>
    <t>常に職場や家庭で整理、整頓に心掛けており、職場の共用スペースや家の中に落ちているゴミは拾うようにしている。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</si>
</sst>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u/>
      <sz val="16"/>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53"/>
        <bgColor indexed="64"/>
      </patternFill>
    </fill>
    <fill>
      <patternFill patternType="solid">
        <fgColor rgb="FFFFFF0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ck">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top style="thick">
        <color indexed="8"/>
      </top>
      <bottom style="thin">
        <color indexed="8"/>
      </bottom>
      <diagonal/>
    </border>
    <border>
      <left style="thick">
        <color indexed="8"/>
      </left>
      <right style="thin">
        <color indexed="8"/>
      </right>
      <top style="thick">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ck">
        <color indexed="8"/>
      </left>
      <right style="thick">
        <color indexed="8"/>
      </right>
      <top style="thick">
        <color indexed="8"/>
      </top>
      <bottom style="thick">
        <color indexed="8"/>
      </bottom>
      <diagonal/>
    </border>
  </borders>
  <cellStyleXfs count="1">
    <xf numFmtId="0" fontId="0" fillId="0" borderId="0">
      <alignment vertical="center"/>
    </xf>
  </cellStyleXfs>
  <cellXfs count="40">
    <xf numFmtId="0" fontId="0" fillId="0" borderId="0" xfId="0">
      <alignment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2" fillId="2" borderId="1" xfId="0" applyFont="1" applyFill="1" applyBorder="1" applyAlignment="1">
      <alignment horizontal="center" vertical="top" wrapText="1"/>
    </xf>
    <xf numFmtId="0" fontId="0" fillId="2" borderId="1" xfId="0" applyFill="1" applyBorder="1" applyAlignment="1">
      <alignment horizontal="center" vertical="center" wrapText="1"/>
    </xf>
    <xf numFmtId="0" fontId="2" fillId="3" borderId="1" xfId="0" applyFont="1" applyFill="1" applyBorder="1" applyAlignment="1">
      <alignment horizontal="center" vertical="top" wrapText="1"/>
    </xf>
    <xf numFmtId="0" fontId="0" fillId="3" borderId="1" xfId="0" applyFill="1" applyBorder="1" applyAlignment="1">
      <alignment horizontal="center" vertical="center" wrapText="1"/>
    </xf>
    <xf numFmtId="0" fontId="1" fillId="0" borderId="4" xfId="0" applyFont="1" applyBorder="1" applyAlignment="1">
      <alignment horizontal="right" vertical="center"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4" borderId="1" xfId="0" applyFill="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17" xfId="0" applyFill="1" applyBorder="1" applyAlignment="1">
      <alignment horizontal="center" vertical="center" wrapText="1"/>
    </xf>
    <xf numFmtId="0" fontId="0" fillId="0" borderId="5" xfId="0"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left" vertical="center" wrapText="1"/>
    </xf>
    <xf numFmtId="0" fontId="0" fillId="0" borderId="1" xfId="0" applyBorder="1" applyAlignment="1">
      <alignment horizontal="center" vertical="center" textRotation="255"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95250</xdr:colOff>
      <xdr:row>18</xdr:row>
      <xdr:rowOff>133350</xdr:rowOff>
    </xdr:from>
    <xdr:to>
      <xdr:col>24</xdr:col>
      <xdr:colOff>219075</xdr:colOff>
      <xdr:row>22</xdr:row>
      <xdr:rowOff>19050</xdr:rowOff>
    </xdr:to>
    <xdr:sp macro="" textlink="">
      <xdr:nvSpPr>
        <xdr:cNvPr id="2" name="Oval 147">
          <a:extLst>
            <a:ext uri="{FF2B5EF4-FFF2-40B4-BE49-F238E27FC236}">
              <a16:creationId xmlns:a16="http://schemas.microsoft.com/office/drawing/2014/main" id="{00000000-0008-0000-0200-000002000000}"/>
            </a:ext>
          </a:extLst>
        </xdr:cNvPr>
        <xdr:cNvSpPr>
          <a:spLocks noChangeArrowheads="1"/>
        </xdr:cNvSpPr>
      </xdr:nvSpPr>
      <xdr:spPr bwMode="auto">
        <a:xfrm>
          <a:off x="5495925" y="4133850"/>
          <a:ext cx="1504950" cy="762000"/>
        </a:xfrm>
        <a:prstGeom prst="ellipse">
          <a:avLst/>
        </a:prstGeom>
        <a:solidFill>
          <a:srgbClr xmlns:mc="http://schemas.openxmlformats.org/markup-compatibility/2006" xmlns:a14="http://schemas.microsoft.com/office/drawing/2010/main" val="FFFFFF" mc:Ignorable="a14" a14:legacySpreadsheetColorIndex="65">
            <a:alpha val="50000"/>
          </a:srgbClr>
        </a:solidFill>
        <a:ln w="9525">
          <a:solidFill>
            <a:srgbClr val="FF6600"/>
          </a:solidFill>
          <a:round/>
          <a:headEnd/>
          <a:tailEnd/>
        </a:ln>
      </xdr:spPr>
      <xdr:txBody>
        <a:bodyPr vertOverflow="clip" wrap="square" lIns="36576" tIns="22860" rIns="36576" bIns="22860" anchor="ctr" upright="1"/>
        <a:lstStyle/>
        <a:p>
          <a:pPr algn="ctr" rtl="0">
            <a:lnSpc>
              <a:spcPts val="1900"/>
            </a:lnSpc>
            <a:defRPr sz="1000"/>
          </a:pPr>
          <a:r>
            <a:rPr lang="ja-JP" altLang="en-US" sz="1800" b="0" i="0" u="none" strike="noStrike" baseline="0">
              <a:solidFill>
                <a:srgbClr val="FF6600"/>
              </a:solidFill>
              <a:latin typeface="ＭＳ Ｐゴシック"/>
              <a:ea typeface="ＭＳ Ｐゴシック"/>
            </a:rPr>
            <a:t>オレンジ</a:t>
          </a:r>
        </a:p>
        <a:p>
          <a:pPr algn="ctr" rtl="0">
            <a:lnSpc>
              <a:spcPts val="1900"/>
            </a:lnSpc>
            <a:defRPr sz="1000"/>
          </a:pPr>
          <a:r>
            <a:rPr lang="ja-JP" altLang="en-US" sz="1800" b="0" i="0" u="none" strike="noStrike" baseline="0">
              <a:solidFill>
                <a:srgbClr val="FF6600"/>
              </a:solidFill>
              <a:latin typeface="ＭＳ Ｐゴシック"/>
              <a:ea typeface="ＭＳ Ｐゴシック"/>
            </a:rPr>
            <a:t>ゾーン</a:t>
          </a:r>
        </a:p>
      </xdr:txBody>
    </xdr:sp>
    <xdr:clientData/>
  </xdr:twoCellAnchor>
  <xdr:twoCellAnchor>
    <xdr:from>
      <xdr:col>4</xdr:col>
      <xdr:colOff>9525</xdr:colOff>
      <xdr:row>11</xdr:row>
      <xdr:rowOff>133350</xdr:rowOff>
    </xdr:from>
    <xdr:to>
      <xdr:col>9</xdr:col>
      <xdr:colOff>266700</xdr:colOff>
      <xdr:row>14</xdr:row>
      <xdr:rowOff>95250</xdr:rowOff>
    </xdr:to>
    <xdr:sp macro="" textlink="">
      <xdr:nvSpPr>
        <xdr:cNvPr id="3" name="Oval 149">
          <a:extLst>
            <a:ext uri="{FF2B5EF4-FFF2-40B4-BE49-F238E27FC236}">
              <a16:creationId xmlns:a16="http://schemas.microsoft.com/office/drawing/2014/main" id="{00000000-0008-0000-0200-000003000000}"/>
            </a:ext>
          </a:extLst>
        </xdr:cNvPr>
        <xdr:cNvSpPr>
          <a:spLocks noChangeArrowheads="1"/>
        </xdr:cNvSpPr>
      </xdr:nvSpPr>
      <xdr:spPr bwMode="auto">
        <a:xfrm>
          <a:off x="1266825" y="2600325"/>
          <a:ext cx="1638300" cy="619125"/>
        </a:xfrm>
        <a:prstGeom prst="ellipse">
          <a:avLst/>
        </a:prstGeom>
        <a:solidFill>
          <a:schemeClr val="bg2">
            <a:lumMod val="75000"/>
            <a:alpha val="30000"/>
          </a:schemeClr>
        </a:solidFill>
        <a:ln w="9525">
          <a:solidFill>
            <a:srgbClr val="C0C0C0"/>
          </a:solidFill>
          <a:prstDash val="dash"/>
          <a:round/>
          <a:headEnd/>
          <a:tailEnd/>
        </a:ln>
      </xdr:spPr>
      <xdr:txBody>
        <a:bodyPr vertOverflow="clip" wrap="square" lIns="91440" tIns="45720" rIns="91440" bIns="45720" anchor="ctr" upright="1"/>
        <a:lstStyle/>
        <a:p>
          <a:pPr algn="ctr" rtl="0">
            <a:lnSpc>
              <a:spcPts val="1100"/>
            </a:lnSpc>
            <a:defRPr sz="1000"/>
          </a:pPr>
          <a:r>
            <a:rPr lang="ja-JP" altLang="en-US" sz="1200" b="0" i="0" u="none" strike="noStrike" baseline="0">
              <a:solidFill>
                <a:srgbClr val="C0C0C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限定的</a:t>
          </a:r>
        </a:p>
        <a:p>
          <a:pPr algn="ctr" rtl="0">
            <a:lnSpc>
              <a:spcPts val="1000"/>
            </a:lnSpc>
            <a:defRPr sz="1000"/>
          </a:pPr>
          <a:r>
            <a:rPr lang="ja-JP" altLang="en-US" sz="1200" b="1" i="0" u="none" strike="noStrike" baseline="0">
              <a:solidFill>
                <a:srgbClr val="FF0000"/>
              </a:solidFill>
              <a:latin typeface="ＭＳ Ｐゴシック"/>
              <a:ea typeface="ＭＳ Ｐゴシック"/>
            </a:rPr>
            <a:t>安全確保行動</a:t>
          </a:r>
        </a:p>
      </xdr:txBody>
    </xdr:sp>
    <xdr:clientData/>
  </xdr:twoCellAnchor>
  <xdr:twoCellAnchor>
    <xdr:from>
      <xdr:col>4</xdr:col>
      <xdr:colOff>28575</xdr:colOff>
      <xdr:row>3</xdr:row>
      <xdr:rowOff>152399</xdr:rowOff>
    </xdr:from>
    <xdr:to>
      <xdr:col>10</xdr:col>
      <xdr:colOff>9525</xdr:colOff>
      <xdr:row>6</xdr:row>
      <xdr:rowOff>190499</xdr:rowOff>
    </xdr:to>
    <xdr:sp macro="" textlink="">
      <xdr:nvSpPr>
        <xdr:cNvPr id="4" name="Oval 150">
          <a:extLst>
            <a:ext uri="{FF2B5EF4-FFF2-40B4-BE49-F238E27FC236}">
              <a16:creationId xmlns:a16="http://schemas.microsoft.com/office/drawing/2014/main" id="{00000000-0008-0000-0200-000004000000}"/>
            </a:ext>
          </a:extLst>
        </xdr:cNvPr>
        <xdr:cNvSpPr>
          <a:spLocks noChangeArrowheads="1"/>
        </xdr:cNvSpPr>
      </xdr:nvSpPr>
      <xdr:spPr bwMode="auto">
        <a:xfrm>
          <a:off x="1285875" y="866774"/>
          <a:ext cx="1638300" cy="695325"/>
        </a:xfrm>
        <a:prstGeom prst="ellipse">
          <a:avLst/>
        </a:prstGeom>
        <a:solidFill>
          <a:schemeClr val="bg2">
            <a:lumMod val="75000"/>
            <a:alpha val="30000"/>
          </a:schemeClr>
        </a:solidFill>
        <a:ln w="9525">
          <a:solidFill>
            <a:srgbClr val="C0C0C0"/>
          </a:solidFill>
          <a:prstDash val="dash"/>
          <a:round/>
          <a:headEnd/>
          <a:tailEnd/>
        </a:ln>
      </xdr:spPr>
      <xdr:txBody>
        <a:bodyPr vertOverflow="clip" wrap="square" lIns="91440" tIns="45720" rIns="91440" bIns="45720" anchor="ctr" upright="1"/>
        <a:lstStyle/>
        <a:p>
          <a:pPr algn="ctr" rtl="0">
            <a:defRPr sz="1000"/>
          </a:pPr>
          <a:r>
            <a:rPr lang="ja-JP" altLang="en-US" sz="1200" b="1" i="0" u="none" strike="noStrike" baseline="0">
              <a:solidFill>
                <a:srgbClr val="FF0000"/>
              </a:solidFill>
              <a:latin typeface="ＭＳ Ｐゴシック"/>
              <a:ea typeface="ＭＳ Ｐゴシック"/>
            </a:rPr>
            <a:t>安全確保行動</a:t>
          </a:r>
        </a:p>
      </xdr:txBody>
    </xdr:sp>
    <xdr:clientData/>
  </xdr:twoCellAnchor>
  <xdr:twoCellAnchor>
    <xdr:from>
      <xdr:col>12</xdr:col>
      <xdr:colOff>19050</xdr:colOff>
      <xdr:row>11</xdr:row>
      <xdr:rowOff>104775</xdr:rowOff>
    </xdr:from>
    <xdr:to>
      <xdr:col>18</xdr:col>
      <xdr:colOff>0</xdr:colOff>
      <xdr:row>14</xdr:row>
      <xdr:rowOff>104775</xdr:rowOff>
    </xdr:to>
    <xdr:sp macro="" textlink="">
      <xdr:nvSpPr>
        <xdr:cNvPr id="5" name="Oval 151">
          <a:extLst>
            <a:ext uri="{FF2B5EF4-FFF2-40B4-BE49-F238E27FC236}">
              <a16:creationId xmlns:a16="http://schemas.microsoft.com/office/drawing/2014/main" id="{00000000-0008-0000-0200-000005000000}"/>
            </a:ext>
          </a:extLst>
        </xdr:cNvPr>
        <xdr:cNvSpPr>
          <a:spLocks noChangeArrowheads="1"/>
        </xdr:cNvSpPr>
      </xdr:nvSpPr>
      <xdr:spPr bwMode="auto">
        <a:xfrm>
          <a:off x="3486150" y="2571750"/>
          <a:ext cx="1638300" cy="657225"/>
        </a:xfrm>
        <a:prstGeom prst="ellipse">
          <a:avLst/>
        </a:prstGeom>
        <a:solidFill>
          <a:schemeClr val="bg2">
            <a:lumMod val="75000"/>
            <a:alpha val="30000"/>
          </a:schemeClr>
        </a:solidFill>
        <a:ln w="9525">
          <a:solidFill>
            <a:srgbClr val="C0C0C0"/>
          </a:solidFill>
          <a:prstDash val="dash"/>
          <a:round/>
          <a:headEnd/>
          <a:tailEnd/>
        </a:ln>
      </xdr:spPr>
      <xdr:txBody>
        <a:bodyPr vertOverflow="clip" wrap="square" lIns="91440" tIns="45720" rIns="91440" bIns="45720" anchor="ctr" upright="1"/>
        <a:lstStyle/>
        <a:p>
          <a:pPr algn="ctr" rtl="0">
            <a:lnSpc>
              <a:spcPts val="1100"/>
            </a:lnSpc>
            <a:defRPr sz="1000"/>
          </a:pPr>
          <a:r>
            <a:rPr lang="ja-JP" altLang="en-US" sz="1200" b="0" i="0" u="none" strike="noStrike" baseline="0">
              <a:solidFill>
                <a:srgbClr val="C0C0C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無意図的</a:t>
          </a:r>
        </a:p>
        <a:p>
          <a:pPr algn="ctr" rtl="0">
            <a:lnSpc>
              <a:spcPts val="1000"/>
            </a:lnSpc>
            <a:defRPr sz="1000"/>
          </a:pPr>
          <a:r>
            <a:rPr lang="ja-JP" altLang="en-US" sz="1200" b="1" i="0" u="none" strike="noStrike" baseline="0">
              <a:solidFill>
                <a:srgbClr val="FF0000"/>
              </a:solidFill>
              <a:latin typeface="ＭＳ Ｐゴシック"/>
              <a:ea typeface="ＭＳ Ｐゴシック"/>
            </a:rPr>
            <a:t>危険敢行行動</a:t>
          </a:r>
        </a:p>
      </xdr:txBody>
    </xdr:sp>
    <xdr:clientData/>
  </xdr:twoCellAnchor>
  <xdr:twoCellAnchor>
    <xdr:from>
      <xdr:col>12</xdr:col>
      <xdr:colOff>19050</xdr:colOff>
      <xdr:row>3</xdr:row>
      <xdr:rowOff>142875</xdr:rowOff>
    </xdr:from>
    <xdr:to>
      <xdr:col>18</xdr:col>
      <xdr:colOff>0</xdr:colOff>
      <xdr:row>6</xdr:row>
      <xdr:rowOff>114300</xdr:rowOff>
    </xdr:to>
    <xdr:sp macro="" textlink="">
      <xdr:nvSpPr>
        <xdr:cNvPr id="6" name="Oval 152">
          <a:extLst>
            <a:ext uri="{FF2B5EF4-FFF2-40B4-BE49-F238E27FC236}">
              <a16:creationId xmlns:a16="http://schemas.microsoft.com/office/drawing/2014/main" id="{00000000-0008-0000-0200-000006000000}"/>
            </a:ext>
          </a:extLst>
        </xdr:cNvPr>
        <xdr:cNvSpPr>
          <a:spLocks noChangeArrowheads="1"/>
        </xdr:cNvSpPr>
      </xdr:nvSpPr>
      <xdr:spPr bwMode="auto">
        <a:xfrm>
          <a:off x="3486150" y="857250"/>
          <a:ext cx="1638300" cy="628650"/>
        </a:xfrm>
        <a:prstGeom prst="ellipse">
          <a:avLst/>
        </a:prstGeom>
        <a:solidFill>
          <a:schemeClr val="bg2">
            <a:lumMod val="75000"/>
            <a:alpha val="30000"/>
          </a:schemeClr>
        </a:solidFill>
        <a:ln w="9525">
          <a:solidFill>
            <a:srgbClr val="C0C0C0"/>
          </a:solidFill>
          <a:prstDash val="dash"/>
          <a:round/>
          <a:headEnd/>
          <a:tailEnd/>
        </a:ln>
      </xdr:spPr>
      <xdr:txBody>
        <a:bodyPr vertOverflow="clip" wrap="square" lIns="91440" tIns="45720" rIns="91440" bIns="45720"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意図的</a:t>
          </a:r>
        </a:p>
        <a:p>
          <a:pPr algn="ctr" rtl="0">
            <a:lnSpc>
              <a:spcPts val="1000"/>
            </a:lnSpc>
            <a:defRPr sz="1000"/>
          </a:pPr>
          <a:r>
            <a:rPr lang="ja-JP" altLang="en-US" sz="1200" b="1" i="0" u="none" strike="noStrike" baseline="0">
              <a:solidFill>
                <a:srgbClr val="FF0000"/>
              </a:solidFill>
              <a:latin typeface="ＭＳ Ｐゴシック"/>
              <a:ea typeface="ＭＳ Ｐゴシック"/>
            </a:rPr>
            <a:t>危険敢行行動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9"/>
  <sheetViews>
    <sheetView tabSelected="1" workbookViewId="0">
      <selection activeCell="N9" sqref="N9"/>
    </sheetView>
  </sheetViews>
  <sheetFormatPr defaultRowHeight="13.5" x14ac:dyDescent="0.15"/>
  <cols>
    <col min="1" max="1" width="1.125" customWidth="1"/>
    <col min="2" max="2" width="6.625" customWidth="1"/>
    <col min="3" max="3" width="45.625" customWidth="1"/>
    <col min="4" max="5" width="5.625" style="4" customWidth="1"/>
    <col min="6" max="6" width="3.75" customWidth="1"/>
    <col min="8" max="8" width="45.625" customWidth="1"/>
    <col min="9" max="10" width="5.625" style="4" customWidth="1"/>
  </cols>
  <sheetData>
    <row r="1" spans="2:10" ht="24.75" customHeight="1" x14ac:dyDescent="0.15">
      <c r="B1" s="7" t="s">
        <v>54</v>
      </c>
    </row>
    <row r="2" spans="2:10" ht="78" customHeight="1" x14ac:dyDescent="0.15">
      <c r="C2" s="35" t="s">
        <v>49</v>
      </c>
      <c r="D2" s="35"/>
      <c r="E2" s="35"/>
      <c r="F2" s="35"/>
      <c r="G2" s="35"/>
      <c r="H2" s="35"/>
      <c r="I2" s="35"/>
      <c r="J2" s="35"/>
    </row>
    <row r="3" spans="2:10" s="5" customFormat="1" ht="17.25" x14ac:dyDescent="0.15">
      <c r="C3" s="5" t="s">
        <v>46</v>
      </c>
      <c r="D3" s="6"/>
      <c r="E3" s="6"/>
      <c r="H3" s="5" t="s">
        <v>47</v>
      </c>
      <c r="I3" s="6"/>
      <c r="J3" s="6"/>
    </row>
    <row r="4" spans="2:10" ht="14.25" x14ac:dyDescent="0.15">
      <c r="B4" s="1" t="s">
        <v>0</v>
      </c>
      <c r="C4" s="1" t="s">
        <v>1</v>
      </c>
      <c r="D4" s="10" t="s">
        <v>42</v>
      </c>
      <c r="E4" s="12" t="s">
        <v>43</v>
      </c>
      <c r="G4" s="1" t="s">
        <v>0</v>
      </c>
      <c r="H4" s="1" t="s">
        <v>1</v>
      </c>
      <c r="I4" s="10" t="s">
        <v>42</v>
      </c>
      <c r="J4" s="12" t="s">
        <v>43</v>
      </c>
    </row>
    <row r="5" spans="2:10" ht="42" customHeight="1" x14ac:dyDescent="0.15">
      <c r="B5" s="8">
        <v>1</v>
      </c>
      <c r="C5" s="28" t="s">
        <v>55</v>
      </c>
      <c r="D5" s="11"/>
      <c r="E5" s="13"/>
      <c r="G5" s="8">
        <v>1</v>
      </c>
      <c r="H5" s="9" t="s">
        <v>21</v>
      </c>
      <c r="I5" s="11"/>
      <c r="J5" s="13"/>
    </row>
    <row r="6" spans="2:10" ht="42" customHeight="1" x14ac:dyDescent="0.15">
      <c r="B6" s="8">
        <v>2</v>
      </c>
      <c r="C6" s="9" t="s">
        <v>2</v>
      </c>
      <c r="D6" s="11"/>
      <c r="E6" s="13"/>
      <c r="G6" s="8">
        <v>2</v>
      </c>
      <c r="H6" s="9" t="s">
        <v>22</v>
      </c>
      <c r="I6" s="11"/>
      <c r="J6" s="13"/>
    </row>
    <row r="7" spans="2:10" ht="42" customHeight="1" x14ac:dyDescent="0.15">
      <c r="B7" s="8">
        <v>3</v>
      </c>
      <c r="C7" s="9" t="s">
        <v>3</v>
      </c>
      <c r="D7" s="11"/>
      <c r="E7" s="13"/>
      <c r="G7" s="8">
        <v>3</v>
      </c>
      <c r="H7" s="9" t="s">
        <v>23</v>
      </c>
      <c r="I7" s="11"/>
      <c r="J7" s="13"/>
    </row>
    <row r="8" spans="2:10" ht="42" customHeight="1" x14ac:dyDescent="0.15">
      <c r="B8" s="8">
        <v>4</v>
      </c>
      <c r="C8" s="9" t="s">
        <v>4</v>
      </c>
      <c r="D8" s="11"/>
      <c r="E8" s="13"/>
      <c r="G8" s="8">
        <v>4</v>
      </c>
      <c r="H8" s="9" t="s">
        <v>24</v>
      </c>
      <c r="I8" s="11"/>
      <c r="J8" s="13"/>
    </row>
    <row r="9" spans="2:10" ht="42" customHeight="1" x14ac:dyDescent="0.15">
      <c r="B9" s="8">
        <v>5</v>
      </c>
      <c r="C9" s="9" t="s">
        <v>5</v>
      </c>
      <c r="D9" s="11"/>
      <c r="E9" s="13"/>
      <c r="G9" s="8">
        <v>5</v>
      </c>
      <c r="H9" s="9" t="s">
        <v>25</v>
      </c>
      <c r="I9" s="11"/>
      <c r="J9" s="13"/>
    </row>
    <row r="10" spans="2:10" ht="42" customHeight="1" x14ac:dyDescent="0.15">
      <c r="B10" s="8">
        <v>6</v>
      </c>
      <c r="C10" s="28" t="s">
        <v>56</v>
      </c>
      <c r="D10" s="11"/>
      <c r="E10" s="13"/>
      <c r="G10" s="8">
        <v>6</v>
      </c>
      <c r="H10" s="9" t="s">
        <v>26</v>
      </c>
      <c r="I10" s="11"/>
      <c r="J10" s="13"/>
    </row>
    <row r="11" spans="2:10" ht="42" customHeight="1" x14ac:dyDescent="0.15">
      <c r="B11" s="8">
        <v>7</v>
      </c>
      <c r="C11" s="9" t="s">
        <v>6</v>
      </c>
      <c r="D11" s="11"/>
      <c r="E11" s="13"/>
      <c r="G11" s="8">
        <v>7</v>
      </c>
      <c r="H11" s="9" t="s">
        <v>27</v>
      </c>
      <c r="I11" s="11"/>
      <c r="J11" s="13"/>
    </row>
    <row r="12" spans="2:10" ht="42" customHeight="1" x14ac:dyDescent="0.15">
      <c r="B12" s="8">
        <v>8</v>
      </c>
      <c r="C12" s="9" t="s">
        <v>7</v>
      </c>
      <c r="D12" s="11"/>
      <c r="E12" s="13"/>
      <c r="G12" s="8">
        <v>8</v>
      </c>
      <c r="H12" s="9" t="s">
        <v>28</v>
      </c>
      <c r="I12" s="11"/>
      <c r="J12" s="13"/>
    </row>
    <row r="13" spans="2:10" ht="60.75" customHeight="1" x14ac:dyDescent="0.15">
      <c r="B13" s="8">
        <v>9</v>
      </c>
      <c r="C13" s="9" t="s">
        <v>8</v>
      </c>
      <c r="D13" s="11"/>
      <c r="E13" s="13"/>
      <c r="G13" s="8">
        <v>9</v>
      </c>
      <c r="H13" s="9" t="s">
        <v>29</v>
      </c>
      <c r="I13" s="11"/>
      <c r="J13" s="13"/>
    </row>
    <row r="14" spans="2:10" ht="42" customHeight="1" x14ac:dyDescent="0.15">
      <c r="B14" s="8">
        <v>10</v>
      </c>
      <c r="C14" s="9" t="s">
        <v>9</v>
      </c>
      <c r="D14" s="11"/>
      <c r="E14" s="13"/>
      <c r="G14" s="8">
        <v>10</v>
      </c>
      <c r="H14" s="9" t="s">
        <v>30</v>
      </c>
      <c r="I14" s="11"/>
      <c r="J14" s="13"/>
    </row>
    <row r="15" spans="2:10" ht="42" customHeight="1" x14ac:dyDescent="0.15">
      <c r="B15" s="8">
        <v>11</v>
      </c>
      <c r="C15" s="9" t="s">
        <v>10</v>
      </c>
      <c r="D15" s="11"/>
      <c r="E15" s="13"/>
      <c r="G15" s="8">
        <v>11</v>
      </c>
      <c r="H15" s="9" t="s">
        <v>31</v>
      </c>
      <c r="I15" s="11"/>
      <c r="J15" s="13"/>
    </row>
    <row r="16" spans="2:10" ht="42" customHeight="1" x14ac:dyDescent="0.15">
      <c r="B16" s="8">
        <v>12</v>
      </c>
      <c r="C16" s="9" t="s">
        <v>11</v>
      </c>
      <c r="D16" s="11"/>
      <c r="E16" s="13"/>
      <c r="G16" s="8">
        <v>12</v>
      </c>
      <c r="H16" s="9" t="s">
        <v>32</v>
      </c>
      <c r="I16" s="11"/>
      <c r="J16" s="13"/>
    </row>
    <row r="17" spans="2:11" ht="42" customHeight="1" x14ac:dyDescent="0.15">
      <c r="B17" s="8">
        <v>13</v>
      </c>
      <c r="C17" s="9" t="s">
        <v>12</v>
      </c>
      <c r="D17" s="11"/>
      <c r="E17" s="13"/>
      <c r="G17" s="8">
        <v>13</v>
      </c>
      <c r="H17" s="9" t="s">
        <v>33</v>
      </c>
      <c r="I17" s="11"/>
      <c r="J17" s="13"/>
    </row>
    <row r="18" spans="2:11" ht="42" customHeight="1" x14ac:dyDescent="0.15">
      <c r="B18" s="8">
        <v>14</v>
      </c>
      <c r="C18" s="9" t="s">
        <v>13</v>
      </c>
      <c r="D18" s="11"/>
      <c r="E18" s="13"/>
      <c r="G18" s="8">
        <v>14</v>
      </c>
      <c r="H18" s="9" t="s">
        <v>34</v>
      </c>
      <c r="I18" s="11"/>
      <c r="J18" s="13"/>
    </row>
    <row r="19" spans="2:11" ht="42" customHeight="1" x14ac:dyDescent="0.15">
      <c r="B19" s="8">
        <v>15</v>
      </c>
      <c r="C19" s="9" t="s">
        <v>14</v>
      </c>
      <c r="D19" s="11"/>
      <c r="E19" s="13"/>
      <c r="G19" s="8">
        <v>15</v>
      </c>
      <c r="H19" s="9" t="s">
        <v>35</v>
      </c>
      <c r="I19" s="11"/>
      <c r="J19" s="13"/>
    </row>
    <row r="20" spans="2:11" ht="42" customHeight="1" x14ac:dyDescent="0.15">
      <c r="B20" s="8">
        <v>16</v>
      </c>
      <c r="C20" s="9" t="s">
        <v>15</v>
      </c>
      <c r="D20" s="11"/>
      <c r="E20" s="13"/>
      <c r="G20" s="8">
        <v>16</v>
      </c>
      <c r="H20" s="9" t="s">
        <v>36</v>
      </c>
      <c r="I20" s="11"/>
      <c r="J20" s="13"/>
    </row>
    <row r="21" spans="2:11" ht="42" customHeight="1" x14ac:dyDescent="0.15">
      <c r="B21" s="8">
        <v>17</v>
      </c>
      <c r="C21" s="9" t="s">
        <v>16</v>
      </c>
      <c r="D21" s="11"/>
      <c r="E21" s="13"/>
      <c r="G21" s="8">
        <v>17</v>
      </c>
      <c r="H21" s="9" t="s">
        <v>37</v>
      </c>
      <c r="I21" s="11"/>
      <c r="J21" s="13"/>
    </row>
    <row r="22" spans="2:11" ht="42" customHeight="1" x14ac:dyDescent="0.15">
      <c r="B22" s="8">
        <v>18</v>
      </c>
      <c r="C22" s="9" t="s">
        <v>17</v>
      </c>
      <c r="D22" s="11"/>
      <c r="E22" s="13"/>
      <c r="G22" s="8">
        <v>18</v>
      </c>
      <c r="H22" s="9" t="s">
        <v>38</v>
      </c>
      <c r="I22" s="11"/>
      <c r="J22" s="13"/>
    </row>
    <row r="23" spans="2:11" ht="42" customHeight="1" x14ac:dyDescent="0.15">
      <c r="B23" s="8">
        <v>19</v>
      </c>
      <c r="C23" s="9" t="s">
        <v>18</v>
      </c>
      <c r="D23" s="11"/>
      <c r="E23" s="13"/>
      <c r="G23" s="8">
        <v>19</v>
      </c>
      <c r="H23" s="9" t="s">
        <v>39</v>
      </c>
      <c r="I23" s="11"/>
      <c r="J23" s="13"/>
    </row>
    <row r="24" spans="2:11" ht="42" customHeight="1" x14ac:dyDescent="0.15">
      <c r="B24" s="8">
        <v>20</v>
      </c>
      <c r="C24" s="9" t="s">
        <v>19</v>
      </c>
      <c r="D24" s="11"/>
      <c r="E24" s="13"/>
      <c r="G24" s="8">
        <v>20</v>
      </c>
      <c r="H24" s="9" t="s">
        <v>40</v>
      </c>
      <c r="I24" s="11"/>
      <c r="J24" s="13"/>
    </row>
    <row r="25" spans="2:11" ht="42" customHeight="1" x14ac:dyDescent="0.15">
      <c r="B25" s="8">
        <v>21</v>
      </c>
      <c r="C25" s="9" t="s">
        <v>20</v>
      </c>
      <c r="D25" s="11"/>
      <c r="E25" s="13"/>
      <c r="G25" s="8">
        <v>21</v>
      </c>
      <c r="H25" s="9" t="s">
        <v>41</v>
      </c>
      <c r="I25" s="11"/>
      <c r="J25" s="13"/>
    </row>
    <row r="26" spans="2:11" ht="20.100000000000001" hidden="1" customHeight="1" x14ac:dyDescent="0.15">
      <c r="C26" s="14" t="s">
        <v>52</v>
      </c>
      <c r="D26" s="34">
        <f>COUNTA(D5,E6,D7,E8,D9:D13,E14,D15:D17,E18,D19:D20,E21,D22,E23:E24,D25)</f>
        <v>0</v>
      </c>
      <c r="E26" s="34"/>
      <c r="F26" t="s">
        <v>50</v>
      </c>
      <c r="H26" s="14" t="s">
        <v>51</v>
      </c>
      <c r="I26" s="34">
        <f>COUNTA(I5:I8,J9,I10:I11,J12,I13,J14:J15,I16,J17:J20,I21,J22,I23:I24,J25)</f>
        <v>0</v>
      </c>
      <c r="J26" s="34"/>
      <c r="K26" t="s">
        <v>50</v>
      </c>
    </row>
    <row r="27" spans="2:11" ht="20.100000000000001" customHeight="1" x14ac:dyDescent="0.15"/>
    <row r="28" spans="2:11" ht="24" customHeight="1" x14ac:dyDescent="0.15"/>
    <row r="29" spans="2:11" ht="24" customHeight="1" x14ac:dyDescent="0.15"/>
  </sheetData>
  <mergeCells count="3">
    <mergeCell ref="D26:E26"/>
    <mergeCell ref="I26:J26"/>
    <mergeCell ref="C2:J2"/>
  </mergeCells>
  <phoneticPr fontId="3"/>
  <dataValidations count="1">
    <dataValidation type="list" allowBlank="1" showInputMessage="1" showErrorMessage="1" sqref="D5:E25 I5:J25" xr:uid="{00000000-0002-0000-0000-000000000000}">
      <formula1>"○"</formula1>
    </dataValidation>
  </dataValidations>
  <pageMargins left="0.4" right="0.31" top="0.87" bottom="1" header="0.51200000000000001" footer="0.51200000000000001"/>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9"/>
  <sheetViews>
    <sheetView workbookViewId="0">
      <selection activeCell="D26" sqref="D26:E26"/>
    </sheetView>
  </sheetViews>
  <sheetFormatPr defaultRowHeight="13.5" x14ac:dyDescent="0.15"/>
  <cols>
    <col min="1" max="1" width="1.125" customWidth="1"/>
    <col min="2" max="2" width="6.625" customWidth="1"/>
    <col min="3" max="3" width="45.625" customWidth="1"/>
    <col min="4" max="5" width="5.625" style="4" customWidth="1"/>
    <col min="6" max="6" width="3.75" customWidth="1"/>
    <col min="8" max="8" width="45.625" customWidth="1"/>
    <col min="9" max="10" width="5.625" style="4" customWidth="1"/>
  </cols>
  <sheetData>
    <row r="1" spans="2:10" ht="24.75" customHeight="1" x14ac:dyDescent="0.15">
      <c r="B1" s="7" t="s">
        <v>54</v>
      </c>
    </row>
    <row r="2" spans="2:10" ht="78" customHeight="1" x14ac:dyDescent="0.15">
      <c r="C2" s="35" t="s">
        <v>49</v>
      </c>
      <c r="D2" s="35"/>
      <c r="E2" s="35"/>
      <c r="F2" s="35"/>
      <c r="G2" s="35"/>
      <c r="H2" s="35"/>
      <c r="I2" s="35"/>
      <c r="J2" s="35"/>
    </row>
    <row r="3" spans="2:10" s="5" customFormat="1" ht="17.25" x14ac:dyDescent="0.15">
      <c r="C3" s="5" t="s">
        <v>46</v>
      </c>
      <c r="D3" s="6"/>
      <c r="E3" s="6"/>
      <c r="H3" s="5" t="s">
        <v>47</v>
      </c>
      <c r="I3" s="6"/>
      <c r="J3" s="6"/>
    </row>
    <row r="4" spans="2:10" ht="15" thickBot="1" x14ac:dyDescent="0.2">
      <c r="B4" s="1" t="s">
        <v>0</v>
      </c>
      <c r="C4" s="1" t="s">
        <v>1</v>
      </c>
      <c r="D4" s="2" t="s">
        <v>42</v>
      </c>
      <c r="E4" s="1" t="s">
        <v>43</v>
      </c>
      <c r="G4" s="1" t="s">
        <v>0</v>
      </c>
      <c r="H4" s="1" t="s">
        <v>1</v>
      </c>
      <c r="I4" s="1" t="s">
        <v>42</v>
      </c>
      <c r="J4" s="1" t="s">
        <v>43</v>
      </c>
    </row>
    <row r="5" spans="2:10" ht="42" customHeight="1" thickTop="1" thickBot="1" x14ac:dyDescent="0.2">
      <c r="B5" s="8">
        <v>1</v>
      </c>
      <c r="C5" s="29" t="s">
        <v>55</v>
      </c>
      <c r="D5" s="32"/>
      <c r="E5" s="30"/>
      <c r="G5" s="8">
        <v>1</v>
      </c>
      <c r="H5" s="9" t="s">
        <v>21</v>
      </c>
      <c r="I5" s="32"/>
      <c r="J5" s="19"/>
    </row>
    <row r="6" spans="2:10" ht="42" customHeight="1" thickTop="1" thickBot="1" x14ac:dyDescent="0.2">
      <c r="B6" s="8">
        <v>2</v>
      </c>
      <c r="C6" s="9" t="s">
        <v>2</v>
      </c>
      <c r="D6" s="31"/>
      <c r="E6" s="32"/>
      <c r="G6" s="8">
        <v>2</v>
      </c>
      <c r="H6" s="9" t="s">
        <v>22</v>
      </c>
      <c r="I6" s="32"/>
      <c r="J6" s="19"/>
    </row>
    <row r="7" spans="2:10" ht="42" customHeight="1" thickTop="1" thickBot="1" x14ac:dyDescent="0.2">
      <c r="B7" s="8">
        <v>3</v>
      </c>
      <c r="C7" s="9" t="s">
        <v>3</v>
      </c>
      <c r="D7" s="32"/>
      <c r="E7" s="19"/>
      <c r="G7" s="8">
        <v>3</v>
      </c>
      <c r="H7" s="9" t="s">
        <v>23</v>
      </c>
      <c r="I7" s="32"/>
      <c r="J7" s="19"/>
    </row>
    <row r="8" spans="2:10" ht="42" customHeight="1" thickTop="1" thickBot="1" x14ac:dyDescent="0.2">
      <c r="B8" s="8">
        <v>4</v>
      </c>
      <c r="C8" s="9" t="s">
        <v>4</v>
      </c>
      <c r="D8" s="19"/>
      <c r="E8" s="32"/>
      <c r="G8" s="8">
        <v>4</v>
      </c>
      <c r="H8" s="9" t="s">
        <v>24</v>
      </c>
      <c r="I8" s="32"/>
      <c r="J8" s="19"/>
    </row>
    <row r="9" spans="2:10" ht="42" customHeight="1" thickTop="1" thickBot="1" x14ac:dyDescent="0.2">
      <c r="B9" s="8">
        <v>5</v>
      </c>
      <c r="C9" s="9" t="s">
        <v>5</v>
      </c>
      <c r="D9" s="32"/>
      <c r="E9" s="19"/>
      <c r="G9" s="8">
        <v>5</v>
      </c>
      <c r="H9" s="9" t="s">
        <v>25</v>
      </c>
      <c r="I9" s="19"/>
      <c r="J9" s="32"/>
    </row>
    <row r="10" spans="2:10" ht="42" customHeight="1" thickTop="1" thickBot="1" x14ac:dyDescent="0.2">
      <c r="B10" s="8">
        <v>6</v>
      </c>
      <c r="C10" s="28" t="s">
        <v>56</v>
      </c>
      <c r="D10" s="32"/>
      <c r="E10" s="19"/>
      <c r="G10" s="8">
        <v>6</v>
      </c>
      <c r="H10" s="9" t="s">
        <v>26</v>
      </c>
      <c r="I10" s="32"/>
      <c r="J10" s="19"/>
    </row>
    <row r="11" spans="2:10" ht="42" customHeight="1" thickTop="1" thickBot="1" x14ac:dyDescent="0.2">
      <c r="B11" s="8">
        <v>7</v>
      </c>
      <c r="C11" s="9" t="s">
        <v>6</v>
      </c>
      <c r="D11" s="32"/>
      <c r="E11" s="19"/>
      <c r="G11" s="8">
        <v>7</v>
      </c>
      <c r="H11" s="9" t="s">
        <v>27</v>
      </c>
      <c r="I11" s="32"/>
      <c r="J11" s="19"/>
    </row>
    <row r="12" spans="2:10" ht="42" customHeight="1" thickTop="1" thickBot="1" x14ac:dyDescent="0.2">
      <c r="B12" s="8">
        <v>8</v>
      </c>
      <c r="C12" s="9" t="s">
        <v>7</v>
      </c>
      <c r="D12" s="32"/>
      <c r="E12" s="19"/>
      <c r="G12" s="8">
        <v>8</v>
      </c>
      <c r="H12" s="9" t="s">
        <v>28</v>
      </c>
      <c r="I12" s="19"/>
      <c r="J12" s="32"/>
    </row>
    <row r="13" spans="2:10" ht="60.75" customHeight="1" thickTop="1" thickBot="1" x14ac:dyDescent="0.2">
      <c r="B13" s="8">
        <v>9</v>
      </c>
      <c r="C13" s="9" t="s">
        <v>8</v>
      </c>
      <c r="D13" s="32"/>
      <c r="E13" s="19"/>
      <c r="G13" s="8">
        <v>9</v>
      </c>
      <c r="H13" s="9" t="s">
        <v>29</v>
      </c>
      <c r="I13" s="32"/>
      <c r="J13" s="19"/>
    </row>
    <row r="14" spans="2:10" ht="42" customHeight="1" thickTop="1" thickBot="1" x14ac:dyDescent="0.2">
      <c r="B14" s="8">
        <v>10</v>
      </c>
      <c r="C14" s="9" t="s">
        <v>9</v>
      </c>
      <c r="D14" s="19"/>
      <c r="E14" s="32"/>
      <c r="G14" s="8">
        <v>10</v>
      </c>
      <c r="H14" s="9" t="s">
        <v>30</v>
      </c>
      <c r="I14" s="19"/>
      <c r="J14" s="32"/>
    </row>
    <row r="15" spans="2:10" ht="42" customHeight="1" thickTop="1" thickBot="1" x14ac:dyDescent="0.2">
      <c r="B15" s="8">
        <v>11</v>
      </c>
      <c r="C15" s="9" t="s">
        <v>10</v>
      </c>
      <c r="D15" s="32"/>
      <c r="E15" s="19"/>
      <c r="G15" s="8">
        <v>11</v>
      </c>
      <c r="H15" s="9" t="s">
        <v>31</v>
      </c>
      <c r="I15" s="19"/>
      <c r="J15" s="32"/>
    </row>
    <row r="16" spans="2:10" ht="42" customHeight="1" thickTop="1" thickBot="1" x14ac:dyDescent="0.2">
      <c r="B16" s="8">
        <v>12</v>
      </c>
      <c r="C16" s="9" t="s">
        <v>11</v>
      </c>
      <c r="D16" s="32"/>
      <c r="E16" s="19"/>
      <c r="G16" s="8">
        <v>12</v>
      </c>
      <c r="H16" s="9" t="s">
        <v>32</v>
      </c>
      <c r="I16" s="32"/>
      <c r="J16" s="19"/>
    </row>
    <row r="17" spans="2:11" ht="42" customHeight="1" thickTop="1" thickBot="1" x14ac:dyDescent="0.2">
      <c r="B17" s="8">
        <v>13</v>
      </c>
      <c r="C17" s="9" t="s">
        <v>12</v>
      </c>
      <c r="D17" s="32"/>
      <c r="E17" s="19"/>
      <c r="G17" s="8">
        <v>13</v>
      </c>
      <c r="H17" s="9" t="s">
        <v>33</v>
      </c>
      <c r="I17" s="19"/>
      <c r="J17" s="32"/>
    </row>
    <row r="18" spans="2:11" ht="42" customHeight="1" thickTop="1" thickBot="1" x14ac:dyDescent="0.2">
      <c r="B18" s="8">
        <v>14</v>
      </c>
      <c r="C18" s="9" t="s">
        <v>13</v>
      </c>
      <c r="D18" s="19"/>
      <c r="E18" s="32"/>
      <c r="G18" s="8">
        <v>14</v>
      </c>
      <c r="H18" s="9" t="s">
        <v>34</v>
      </c>
      <c r="I18" s="19"/>
      <c r="J18" s="32"/>
    </row>
    <row r="19" spans="2:11" ht="42" customHeight="1" thickTop="1" thickBot="1" x14ac:dyDescent="0.2">
      <c r="B19" s="8">
        <v>15</v>
      </c>
      <c r="C19" s="9" t="s">
        <v>14</v>
      </c>
      <c r="D19" s="32"/>
      <c r="E19" s="19"/>
      <c r="G19" s="8">
        <v>15</v>
      </c>
      <c r="H19" s="9" t="s">
        <v>35</v>
      </c>
      <c r="I19" s="19"/>
      <c r="J19" s="32"/>
    </row>
    <row r="20" spans="2:11" ht="42" customHeight="1" thickTop="1" thickBot="1" x14ac:dyDescent="0.2">
      <c r="B20" s="8">
        <v>16</v>
      </c>
      <c r="C20" s="9" t="s">
        <v>15</v>
      </c>
      <c r="D20" s="32"/>
      <c r="E20" s="19"/>
      <c r="G20" s="8">
        <v>16</v>
      </c>
      <c r="H20" s="9" t="s">
        <v>36</v>
      </c>
      <c r="I20" s="19"/>
      <c r="J20" s="32"/>
    </row>
    <row r="21" spans="2:11" ht="42" customHeight="1" thickTop="1" thickBot="1" x14ac:dyDescent="0.2">
      <c r="B21" s="8">
        <v>17</v>
      </c>
      <c r="C21" s="9" t="s">
        <v>16</v>
      </c>
      <c r="D21" s="19"/>
      <c r="E21" s="32"/>
      <c r="G21" s="8">
        <v>17</v>
      </c>
      <c r="H21" s="9" t="s">
        <v>37</v>
      </c>
      <c r="I21" s="32"/>
      <c r="J21" s="19"/>
    </row>
    <row r="22" spans="2:11" ht="42" customHeight="1" thickTop="1" thickBot="1" x14ac:dyDescent="0.2">
      <c r="B22" s="8">
        <v>18</v>
      </c>
      <c r="C22" s="9" t="s">
        <v>17</v>
      </c>
      <c r="D22" s="32"/>
      <c r="E22" s="19"/>
      <c r="G22" s="8">
        <v>18</v>
      </c>
      <c r="H22" s="9" t="s">
        <v>38</v>
      </c>
      <c r="I22" s="19"/>
      <c r="J22" s="32"/>
    </row>
    <row r="23" spans="2:11" ht="42" customHeight="1" thickTop="1" thickBot="1" x14ac:dyDescent="0.2">
      <c r="B23" s="8">
        <v>19</v>
      </c>
      <c r="C23" s="9" t="s">
        <v>18</v>
      </c>
      <c r="D23" s="19"/>
      <c r="E23" s="32"/>
      <c r="G23" s="8">
        <v>19</v>
      </c>
      <c r="H23" s="9" t="s">
        <v>39</v>
      </c>
      <c r="I23" s="32"/>
      <c r="J23" s="19"/>
    </row>
    <row r="24" spans="2:11" ht="42" customHeight="1" thickTop="1" thickBot="1" x14ac:dyDescent="0.2">
      <c r="B24" s="8">
        <v>20</v>
      </c>
      <c r="C24" s="9" t="s">
        <v>19</v>
      </c>
      <c r="D24" s="19"/>
      <c r="E24" s="32"/>
      <c r="G24" s="8">
        <v>20</v>
      </c>
      <c r="H24" s="9" t="s">
        <v>40</v>
      </c>
      <c r="I24" s="32"/>
      <c r="J24" s="19"/>
    </row>
    <row r="25" spans="2:11" ht="42" customHeight="1" thickTop="1" thickBot="1" x14ac:dyDescent="0.2">
      <c r="B25" s="8">
        <v>21</v>
      </c>
      <c r="C25" s="9" t="s">
        <v>20</v>
      </c>
      <c r="D25" s="32"/>
      <c r="E25" s="19"/>
      <c r="G25" s="8">
        <v>21</v>
      </c>
      <c r="H25" s="9" t="s">
        <v>41</v>
      </c>
      <c r="I25" s="19"/>
      <c r="J25" s="32"/>
    </row>
    <row r="26" spans="2:11" ht="20.100000000000001" customHeight="1" thickTop="1" x14ac:dyDescent="0.15">
      <c r="C26" s="14" t="s">
        <v>52</v>
      </c>
      <c r="D26" s="34">
        <f>COUNTA(D5,E6,D7,E8,D9:D13,E14,D15:D17,E18,D19:D20,E21,D22,E23:E24,D25)</f>
        <v>0</v>
      </c>
      <c r="E26" s="34"/>
      <c r="F26" t="s">
        <v>50</v>
      </c>
      <c r="H26" s="14" t="s">
        <v>51</v>
      </c>
      <c r="I26" s="34">
        <f>COUNTA(I5:I8,J9,I10:I11,J12,I13,J14:J15,I16,J17:J20,I21,J22,I23:I24,J25)</f>
        <v>0</v>
      </c>
      <c r="J26" s="34"/>
      <c r="K26" t="s">
        <v>50</v>
      </c>
    </row>
    <row r="27" spans="2:11" ht="20.100000000000001" customHeight="1" x14ac:dyDescent="0.15"/>
    <row r="28" spans="2:11" ht="24" customHeight="1" x14ac:dyDescent="0.15"/>
    <row r="29" spans="2:11" ht="24" customHeight="1" x14ac:dyDescent="0.15"/>
  </sheetData>
  <mergeCells count="3">
    <mergeCell ref="C2:J2"/>
    <mergeCell ref="D26:E26"/>
    <mergeCell ref="I26:J26"/>
  </mergeCells>
  <phoneticPr fontId="3"/>
  <dataValidations disablePrompts="1" count="1">
    <dataValidation type="list" allowBlank="1" showInputMessage="1" showErrorMessage="1" sqref="D5:E25 I5:J25" xr:uid="{00000000-0002-0000-0100-000000000000}">
      <formula1>"○"</formula1>
    </dataValidation>
  </dataValidations>
  <pageMargins left="0.4" right="0.31" top="0.87" bottom="1" header="0.51200000000000001" footer="0.51200000000000001"/>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60"/>
  <sheetViews>
    <sheetView zoomScale="80" zoomScaleNormal="80" workbookViewId="0">
      <selection activeCell="M38" sqref="M38"/>
    </sheetView>
  </sheetViews>
  <sheetFormatPr defaultRowHeight="13.5" x14ac:dyDescent="0.15"/>
  <cols>
    <col min="1" max="1" width="4.375" customWidth="1"/>
    <col min="2" max="2" width="5" customWidth="1"/>
    <col min="3" max="3" width="3.5" bestFit="1" customWidth="1"/>
    <col min="4" max="25" width="3.625" customWidth="1"/>
  </cols>
  <sheetData>
    <row r="1" spans="2:25" ht="21.75" customHeight="1" x14ac:dyDescent="0.15">
      <c r="B1" s="7" t="s">
        <v>48</v>
      </c>
    </row>
    <row r="2" spans="2:25" ht="17.25" customHeight="1" x14ac:dyDescent="0.15">
      <c r="B2" s="36" t="s">
        <v>44</v>
      </c>
      <c r="C2" s="1">
        <v>21</v>
      </c>
      <c r="D2" s="19" t="str">
        <f>IF(AND(回答用紙!$D$26=21,回答用紙!$I$26=0),"●","")</f>
        <v/>
      </c>
      <c r="E2" s="19" t="str">
        <f>IF(AND(回答用紙!$D$26=21,回答用紙!$I$26=1),"●","")</f>
        <v/>
      </c>
      <c r="F2" s="19" t="str">
        <f>IF(AND(回答用紙!$D$26=21,回答用紙!$I$26=2),"●","")</f>
        <v/>
      </c>
      <c r="G2" s="19" t="str">
        <f>IF(AND(回答用紙!$D$26=21,回答用紙!$I$26=3),"●","")</f>
        <v/>
      </c>
      <c r="H2" s="19" t="str">
        <f>IF(AND(回答用紙!$D$26=21,回答用紙!$I$26=4),"●","")</f>
        <v/>
      </c>
      <c r="I2" s="19" t="str">
        <f>IF(AND(回答用紙!$D$26=21,回答用紙!$I$26=5),"●","")</f>
        <v/>
      </c>
      <c r="J2" s="19" t="str">
        <f>IF(AND(回答用紙!$D$26=21,回答用紙!$I$26=6),"●","")</f>
        <v/>
      </c>
      <c r="K2" s="33" t="str">
        <f>IF(AND(回答用紙!$D$26=21,回答用紙!$I$26=7),"●","")</f>
        <v/>
      </c>
      <c r="L2" s="20" t="str">
        <f>IF(AND(回答用紙!$D$26=21,回答用紙!$I$26=8),"●","")</f>
        <v/>
      </c>
      <c r="M2" s="19" t="str">
        <f>IF(AND(回答用紙!$D$26=21,回答用紙!$I$26=9),"●","")</f>
        <v/>
      </c>
      <c r="N2" s="19" t="str">
        <f>IF(AND(回答用紙!$D$26=21,回答用紙!$I$26=10),"●","")</f>
        <v/>
      </c>
      <c r="O2" s="19" t="str">
        <f>IF(AND(回答用紙!$D$26=21,回答用紙!$I$26=11),"●","")</f>
        <v/>
      </c>
      <c r="P2" s="19" t="str">
        <f>IF(AND(回答用紙!$D$26=21,回答用紙!$I$26=12),"●","")</f>
        <v/>
      </c>
      <c r="Q2" s="19" t="str">
        <f>IF(AND(回答用紙!$D$26=21,回答用紙!$I$26=13),"●","")</f>
        <v/>
      </c>
      <c r="R2" s="19" t="str">
        <f>IF(AND(回答用紙!$D$26=21,回答用紙!$I$26=14),"●","")</f>
        <v/>
      </c>
      <c r="S2" s="19" t="str">
        <f>IF(AND(回答用紙!$D$26=21,回答用紙!$I$26=15),"●","")</f>
        <v/>
      </c>
      <c r="T2" s="21" t="str">
        <f>IF(AND(回答用紙!$D$26=21,回答用紙!$I$26=16),"●","")</f>
        <v/>
      </c>
      <c r="U2" s="21" t="str">
        <f>IF(AND(回答用紙!$D$26=21,回答用紙!$I$26=17),"●","")</f>
        <v/>
      </c>
      <c r="V2" s="21" t="str">
        <f>IF(AND(回答用紙!$D$26=21,回答用紙!$I$26=18),"●","")</f>
        <v/>
      </c>
      <c r="W2" s="21" t="str">
        <f>IF(AND(回答用紙!$D$26=21,回答用紙!$I$26=19),"●","")</f>
        <v/>
      </c>
      <c r="X2" s="21" t="str">
        <f>IF(AND(回答用紙!$D$26=21,回答用紙!$I$26=20),"●","")</f>
        <v/>
      </c>
      <c r="Y2" s="21" t="str">
        <f>IF(AND(回答用紙!$D$26=21,回答用紙!$I$26=21),"●","")</f>
        <v/>
      </c>
    </row>
    <row r="3" spans="2:25" ht="17.25" customHeight="1" x14ac:dyDescent="0.15">
      <c r="B3" s="36"/>
      <c r="C3" s="1">
        <v>20</v>
      </c>
      <c r="D3" s="19" t="str">
        <f>IF(AND(回答用紙!$D$26=20,回答用紙!$I$26=0),"●","")</f>
        <v/>
      </c>
      <c r="E3" s="19" t="str">
        <f>IF(AND(回答用紙!$D$26=20,回答用紙!$I$26=1),"●","")</f>
        <v/>
      </c>
      <c r="F3" s="19" t="str">
        <f>IF(AND(回答用紙!$D$26=20,回答用紙!$I$26=2),"●","")</f>
        <v/>
      </c>
      <c r="G3" s="19" t="str">
        <f>IF(AND(回答用紙!$D$26=20,回答用紙!$I$26=3),"●","")</f>
        <v/>
      </c>
      <c r="H3" s="19" t="str">
        <f>IF(AND(回答用紙!$D$26=20,回答用紙!$I$26=4),"●","")</f>
        <v/>
      </c>
      <c r="I3" s="19" t="str">
        <f>IF(AND(回答用紙!$D$26=20,回答用紙!$I$26=5),"●","")</f>
        <v/>
      </c>
      <c r="J3" s="19" t="str">
        <f>IF(AND(回答用紙!$D$26=20,回答用紙!$I$26=6),"●","")</f>
        <v/>
      </c>
      <c r="K3" s="33" t="str">
        <f>IF(AND(回答用紙!$D$26=20,回答用紙!$I$26=7),"●","")</f>
        <v/>
      </c>
      <c r="L3" s="20" t="str">
        <f>IF(AND(回答用紙!$D$26=20,回答用紙!$I$26=8),"●","")</f>
        <v/>
      </c>
      <c r="M3" s="19" t="str">
        <f>IF(AND(回答用紙!$D$26=20,回答用紙!$I$26=9),"●","")</f>
        <v/>
      </c>
      <c r="N3" s="19" t="str">
        <f>IF(AND(回答用紙!$D$26=20,回答用紙!$I$26=10),"●","")</f>
        <v/>
      </c>
      <c r="O3" s="19" t="str">
        <f>IF(AND(回答用紙!$D$26=20,回答用紙!$I$26=11),"●","")</f>
        <v/>
      </c>
      <c r="P3" s="19" t="str">
        <f>IF(AND(回答用紙!$D$26=20,回答用紙!$I$26=12),"●","")</f>
        <v/>
      </c>
      <c r="Q3" s="19" t="str">
        <f>IF(AND(回答用紙!$D$26=20,回答用紙!$I$26=13),"●","")</f>
        <v/>
      </c>
      <c r="R3" s="19" t="str">
        <f>IF(AND(回答用紙!$D$26=20,回答用紙!$I$26=14),"●","")</f>
        <v/>
      </c>
      <c r="S3" s="19" t="str">
        <f>IF(AND(回答用紙!$D$26=20,回答用紙!$I$26=15),"●","")</f>
        <v/>
      </c>
      <c r="T3" s="21" t="str">
        <f>IF(AND(回答用紙!$D$26=20,回答用紙!$I$26=16),"●","")</f>
        <v/>
      </c>
      <c r="U3" s="21" t="str">
        <f>IF(AND(回答用紙!$D$26=20,回答用紙!$I$26=17),"●","")</f>
        <v/>
      </c>
      <c r="V3" s="21" t="str">
        <f>IF(AND(回答用紙!$D$26=20,回答用紙!$I$26=18),"●","")</f>
        <v/>
      </c>
      <c r="W3" s="21" t="str">
        <f>IF(AND(回答用紙!$D$26=20,回答用紙!$I$26=19),"●","")</f>
        <v/>
      </c>
      <c r="X3" s="21" t="str">
        <f>IF(AND(回答用紙!$D$26=20,回答用紙!$I$26=20),"●","")</f>
        <v/>
      </c>
      <c r="Y3" s="21" t="str">
        <f>IF(AND(回答用紙!$D$26=20,回答用紙!$I$26=21),"●","")</f>
        <v/>
      </c>
    </row>
    <row r="4" spans="2:25" ht="17.25" customHeight="1" x14ac:dyDescent="0.15">
      <c r="B4" s="36"/>
      <c r="C4" s="1">
        <v>19</v>
      </c>
      <c r="D4" s="19" t="str">
        <f>IF(AND(回答用紙!$D$26=19,回答用紙!$I$26=0),"●","")</f>
        <v/>
      </c>
      <c r="E4" s="19" t="str">
        <f>IF(AND(回答用紙!$D$26=19,回答用紙!$I$26=1),"●","")</f>
        <v/>
      </c>
      <c r="F4" s="19" t="str">
        <f>IF(AND(回答用紙!$D$26=19,回答用紙!$I$26=2),"●","")</f>
        <v/>
      </c>
      <c r="G4" s="19" t="str">
        <f>IF(AND(回答用紙!$D$26=19,回答用紙!$I$26=3),"●","")</f>
        <v/>
      </c>
      <c r="H4" s="19" t="str">
        <f>IF(AND(回答用紙!$D$26=19,回答用紙!$I$26=4),"●","")</f>
        <v/>
      </c>
      <c r="I4" s="19" t="str">
        <f>IF(AND(回答用紙!$D$26=19,回答用紙!$I$26=5),"●","")</f>
        <v/>
      </c>
      <c r="J4" s="19" t="str">
        <f>IF(AND(回答用紙!$D$26=19,回答用紙!$I$26=6),"●","")</f>
        <v/>
      </c>
      <c r="K4" s="33" t="str">
        <f>IF(AND(回答用紙!$D$26=19,回答用紙!$I$26=7),"●","")</f>
        <v/>
      </c>
      <c r="L4" s="20" t="str">
        <f>IF(AND(回答用紙!$D$26=19,回答用紙!$I$26=8),"●","")</f>
        <v/>
      </c>
      <c r="M4" s="19" t="str">
        <f>IF(AND(回答用紙!$D$26=19,回答用紙!$I$26=9),"●","")</f>
        <v/>
      </c>
      <c r="N4" s="19" t="str">
        <f>IF(AND(回答用紙!$D$26=19,回答用紙!$I$26=10),"●","")</f>
        <v/>
      </c>
      <c r="O4" s="19" t="str">
        <f>IF(AND(回答用紙!$D$26=19,回答用紙!$I$26=11),"●","")</f>
        <v/>
      </c>
      <c r="P4" s="19" t="str">
        <f>IF(AND(回答用紙!$D$26=19,回答用紙!$I$26=12),"●","")</f>
        <v/>
      </c>
      <c r="Q4" s="19" t="str">
        <f>IF(AND(回答用紙!$D$26=19,回答用紙!$I$26=13),"●","")</f>
        <v/>
      </c>
      <c r="R4" s="19" t="str">
        <f>IF(AND(回答用紙!$D$26=19,回答用紙!$I$26=14),"●","")</f>
        <v/>
      </c>
      <c r="S4" s="19" t="str">
        <f>IF(AND(回答用紙!$D$26=19,回答用紙!$I$26=15),"●","")</f>
        <v/>
      </c>
      <c r="T4" s="21" t="str">
        <f>IF(AND(回答用紙!$D$26=19,回答用紙!$I$26=16),"●","")</f>
        <v/>
      </c>
      <c r="U4" s="21" t="str">
        <f>IF(AND(回答用紙!$D$26=19,回答用紙!$I$26=17),"●","")</f>
        <v/>
      </c>
      <c r="V4" s="21" t="str">
        <f>IF(AND(回答用紙!$D$26=19,回答用紙!$I$26=18),"●","")</f>
        <v/>
      </c>
      <c r="W4" s="21" t="str">
        <f>IF(AND(回答用紙!$D$26=19,回答用紙!$I$26=19),"●","")</f>
        <v/>
      </c>
      <c r="X4" s="21" t="str">
        <f>IF(AND(回答用紙!$D$26=19,回答用紙!$I$26=20),"●","")</f>
        <v/>
      </c>
      <c r="Y4" s="21" t="str">
        <f>IF(AND(回答用紙!$D$26=19,回答用紙!$I$26=21),"●","")</f>
        <v/>
      </c>
    </row>
    <row r="5" spans="2:25" ht="17.25" customHeight="1" x14ac:dyDescent="0.15">
      <c r="B5" s="36"/>
      <c r="C5" s="1">
        <v>18</v>
      </c>
      <c r="D5" s="19" t="str">
        <f>IF(AND(回答用紙!$D$26=18,回答用紙!$I$26=0),"●","")</f>
        <v/>
      </c>
      <c r="E5" s="19" t="str">
        <f>IF(AND(回答用紙!$D$26=18,回答用紙!$I$26=1),"●","")</f>
        <v/>
      </c>
      <c r="F5" s="19" t="str">
        <f>IF(AND(回答用紙!$D$26=18,回答用紙!$I$26=2),"●","")</f>
        <v/>
      </c>
      <c r="G5" s="19" t="str">
        <f>IF(AND(回答用紙!$D$26=18,回答用紙!$I$26=3),"●","")</f>
        <v/>
      </c>
      <c r="H5" s="19" t="str">
        <f>IF(AND(回答用紙!$D$26=18,回答用紙!$I$26=4),"●","")</f>
        <v/>
      </c>
      <c r="I5" s="19" t="str">
        <f>IF(AND(回答用紙!$D$26=18,回答用紙!$I$26=5),"●","")</f>
        <v/>
      </c>
      <c r="J5" s="19" t="str">
        <f>IF(AND(回答用紙!$D$26=18,回答用紙!$I$26=6),"●","")</f>
        <v/>
      </c>
      <c r="K5" s="33" t="str">
        <f>IF(AND(回答用紙!$D$26=18,回答用紙!$I$26=7),"●","")</f>
        <v/>
      </c>
      <c r="L5" s="20" t="str">
        <f>IF(AND(回答用紙!$D$26=19,回答用紙!$I$26=8),"●","")</f>
        <v/>
      </c>
      <c r="M5" s="19" t="str">
        <f>IF(AND(回答用紙!$D$26=19,回答用紙!$I$26=9),"●","")</f>
        <v/>
      </c>
      <c r="N5" s="19" t="str">
        <f>IF(AND(回答用紙!$D$26=19,回答用紙!$I$26=10),"●","")</f>
        <v/>
      </c>
      <c r="O5" s="19" t="str">
        <f>IF(AND(回答用紙!$D$26=19,回答用紙!$I$26=11),"●","")</f>
        <v/>
      </c>
      <c r="P5" s="19" t="str">
        <f>IF(AND(回答用紙!$D$26=19,回答用紙!$I$26=12),"●","")</f>
        <v/>
      </c>
      <c r="Q5" s="19" t="str">
        <f>IF(AND(回答用紙!$D$26=19,回答用紙!$I$26=13),"●","")</f>
        <v/>
      </c>
      <c r="R5" s="19" t="str">
        <f>IF(AND(回答用紙!$D$26=19,回答用紙!$I$26=14),"●","")</f>
        <v/>
      </c>
      <c r="S5" s="19" t="str">
        <f>IF(AND(回答用紙!$D$26=19,回答用紙!$I$26=15),"●","")</f>
        <v/>
      </c>
      <c r="T5" s="21" t="str">
        <f>IF(AND(回答用紙!$D$26=19,回答用紙!$I$26=16),"●","")</f>
        <v/>
      </c>
      <c r="U5" s="21" t="str">
        <f>IF(AND(回答用紙!$D$26=19,回答用紙!$I$26=17),"●","")</f>
        <v/>
      </c>
      <c r="V5" s="21" t="str">
        <f>IF(AND(回答用紙!$D$26=19,回答用紙!$I$26=18),"●","")</f>
        <v/>
      </c>
      <c r="W5" s="21" t="str">
        <f>IF(AND(回答用紙!$D$26=19,回答用紙!$I$26=19),"●","")</f>
        <v/>
      </c>
      <c r="X5" s="21" t="str">
        <f>IF(AND(回答用紙!$D$26=19,回答用紙!$I$26=20),"●","")</f>
        <v/>
      </c>
      <c r="Y5" s="21" t="str">
        <f>IF(AND(回答用紙!$D$26=19,回答用紙!$I$26=21),"●","")</f>
        <v/>
      </c>
    </row>
    <row r="6" spans="2:25" ht="17.25" customHeight="1" x14ac:dyDescent="0.15">
      <c r="B6" s="36"/>
      <c r="C6" s="1">
        <v>17</v>
      </c>
      <c r="D6" s="19" t="str">
        <f>IF(AND(回答用紙!$D$26=17,回答用紙!$I$26=0),"●","")</f>
        <v/>
      </c>
      <c r="E6" s="19" t="str">
        <f>IF(AND(回答用紙!$D$26=17,回答用紙!$I$26=1),"●","")</f>
        <v/>
      </c>
      <c r="F6" s="19" t="str">
        <f>IF(AND(回答用紙!$D$26=17,回答用紙!$I$26=2),"●","")</f>
        <v/>
      </c>
      <c r="G6" s="19" t="str">
        <f>IF(AND(回答用紙!$D$26=17,回答用紙!$I$26=3),"●","")</f>
        <v/>
      </c>
      <c r="H6" s="19" t="str">
        <f>IF(AND(回答用紙!$D$26=17,回答用紙!$I$26=4),"●","")</f>
        <v/>
      </c>
      <c r="I6" s="19" t="str">
        <f>IF(AND(回答用紙!$D$26=17,回答用紙!$I$26=5),"●","")</f>
        <v/>
      </c>
      <c r="J6" s="19" t="str">
        <f>IF(AND(回答用紙!$D$26=17,回答用紙!$I$26=6),"●","")</f>
        <v/>
      </c>
      <c r="K6" s="33" t="str">
        <f>IF(AND(回答用紙!$D$26=17,回答用紙!$I$26=7),"●","")</f>
        <v/>
      </c>
      <c r="L6" s="20" t="str">
        <f>IF(AND(回答用紙!$D$26=17,回答用紙!$I$26=8),"●","")</f>
        <v/>
      </c>
      <c r="M6" s="19" t="str">
        <f>IF(AND(回答用紙!$D$26=17,回答用紙!$I$26=9),"●","")</f>
        <v/>
      </c>
      <c r="N6" s="19" t="str">
        <f>IF(AND(回答用紙!$D$26=17,回答用紙!$I$26=10),"●","")</f>
        <v/>
      </c>
      <c r="O6" s="19" t="str">
        <f>IF(AND(回答用紙!$D$26=17,回答用紙!$I$26=11),"●","")</f>
        <v/>
      </c>
      <c r="P6" s="19" t="str">
        <f>IF(AND(回答用紙!$D$26=17,回答用紙!$I$26=12),"●","")</f>
        <v/>
      </c>
      <c r="Q6" s="19" t="str">
        <f>IF(AND(回答用紙!$D$26=17,回答用紙!$I$26=13),"●","")</f>
        <v/>
      </c>
      <c r="R6" s="19" t="str">
        <f>IF(AND(回答用紙!$D$26=17,回答用紙!$I$26=14),"●","")</f>
        <v/>
      </c>
      <c r="S6" s="19" t="str">
        <f>IF(AND(回答用紙!$D$26=17,回答用紙!$I$26=15),"●","")</f>
        <v/>
      </c>
      <c r="T6" s="21" t="str">
        <f>IF(AND(回答用紙!$D$26=17,回答用紙!$I$26=16),"●","")</f>
        <v/>
      </c>
      <c r="U6" s="21" t="str">
        <f>IF(AND(回答用紙!$D$26=17,回答用紙!$I$26=17),"●","")</f>
        <v/>
      </c>
      <c r="V6" s="21" t="str">
        <f>IF(AND(回答用紙!$D$26=17,回答用紙!$I$26=18),"●","")</f>
        <v/>
      </c>
      <c r="W6" s="21" t="str">
        <f>IF(AND(回答用紙!$D$26=17,回答用紙!$I$26=19),"●","")</f>
        <v/>
      </c>
      <c r="X6" s="21" t="str">
        <f>IF(AND(回答用紙!$D$26=17,回答用紙!$I$26=20),"●","")</f>
        <v/>
      </c>
      <c r="Y6" s="21" t="str">
        <f>IF(AND(回答用紙!$D$26=17,回答用紙!$I$26=21),"●","")</f>
        <v/>
      </c>
    </row>
    <row r="7" spans="2:25" ht="17.25" customHeight="1" x14ac:dyDescent="0.15">
      <c r="B7" s="36"/>
      <c r="C7" s="1">
        <v>16</v>
      </c>
      <c r="D7" s="19" t="str">
        <f>IF(AND(回答用紙!$D$26=16,回答用紙!$I$26=0),"●","")</f>
        <v/>
      </c>
      <c r="E7" s="19" t="str">
        <f>IF(AND(回答用紙!$D$26=16,回答用紙!$I$26=1),"●","")</f>
        <v/>
      </c>
      <c r="F7" s="19" t="str">
        <f>IF(AND(回答用紙!$D$26=16,回答用紙!$I$26=2),"●","")</f>
        <v/>
      </c>
      <c r="G7" s="19" t="str">
        <f>IF(AND(回答用紙!$D$26=16,回答用紙!$I$26=3),"●","")</f>
        <v/>
      </c>
      <c r="H7" s="19" t="str">
        <f>IF(AND(回答用紙!$D$26=16,回答用紙!$I$26=4),"●","")</f>
        <v/>
      </c>
      <c r="I7" s="19" t="str">
        <f>IF(AND(回答用紙!$D$26=16,回答用紙!$I$26=5),"●","")</f>
        <v/>
      </c>
      <c r="J7" s="19" t="str">
        <f>IF(AND(回答用紙!$D$26=16,回答用紙!$I$26=6),"●","")</f>
        <v/>
      </c>
      <c r="K7" s="33" t="str">
        <f>IF(AND(回答用紙!$D$26=16,回答用紙!$I$26=7),"●","")</f>
        <v/>
      </c>
      <c r="L7" s="20" t="str">
        <f>IF(AND(回答用紙!$D$26=16,回答用紙!$I$26=8),"●","")</f>
        <v/>
      </c>
      <c r="M7" s="19" t="str">
        <f>IF(AND(回答用紙!$D$26=16,回答用紙!$I$26=9),"●","")</f>
        <v/>
      </c>
      <c r="N7" s="19" t="str">
        <f>IF(AND(回答用紙!$D$26=16,回答用紙!$I$26=10),"●","")</f>
        <v/>
      </c>
      <c r="O7" s="19" t="str">
        <f>IF(AND(回答用紙!$D$26=16,回答用紙!$I$26=11),"●","")</f>
        <v/>
      </c>
      <c r="P7" s="19" t="str">
        <f>IF(AND(回答用紙!$D$26=16,回答用紙!$I$26=12),"●","")</f>
        <v/>
      </c>
      <c r="Q7" s="19" t="str">
        <f>IF(AND(回答用紙!$D$26=16,回答用紙!$I$26=13),"●","")</f>
        <v/>
      </c>
      <c r="R7" s="19" t="str">
        <f>IF(AND(回答用紙!$D$26=16,回答用紙!$I$26=14),"●","")</f>
        <v/>
      </c>
      <c r="S7" s="19" t="str">
        <f>IF(AND(回答用紙!$D$26=16,回答用紙!$I$26=15),"●","")</f>
        <v/>
      </c>
      <c r="T7" s="21" t="str">
        <f>IF(AND(回答用紙!$D$26=16,回答用紙!$I$26=16),"●","")</f>
        <v/>
      </c>
      <c r="U7" s="21" t="str">
        <f>IF(AND(回答用紙!$D$26=16,回答用紙!$I$26=17),"●","")</f>
        <v/>
      </c>
      <c r="V7" s="21" t="str">
        <f>IF(AND(回答用紙!$D$26=16,回答用紙!$I$26=18),"●","")</f>
        <v/>
      </c>
      <c r="W7" s="21" t="str">
        <f>IF(AND(回答用紙!$D$26=16,回答用紙!$I$26=19),"●","")</f>
        <v/>
      </c>
      <c r="X7" s="21" t="str">
        <f>IF(AND(回答用紙!$D$26=16,回答用紙!$I$26=20),"●","")</f>
        <v/>
      </c>
      <c r="Y7" s="21" t="str">
        <f>IF(AND(回答用紙!$D$26=16,回答用紙!$I$26=21),"●","")</f>
        <v/>
      </c>
    </row>
    <row r="8" spans="2:25" ht="17.25" customHeight="1" x14ac:dyDescent="0.15">
      <c r="B8" s="36"/>
      <c r="C8" s="1">
        <v>15</v>
      </c>
      <c r="D8" s="19" t="str">
        <f>IF(AND(回答用紙!$D$26=15,回答用紙!$I$26=0),"●","")</f>
        <v/>
      </c>
      <c r="E8" s="19" t="str">
        <f>IF(AND(回答用紙!$D$26=15,回答用紙!$I$26=1),"●","")</f>
        <v/>
      </c>
      <c r="F8" s="19" t="str">
        <f>IF(AND(回答用紙!$D$26=15,回答用紙!$I$26=2),"●","")</f>
        <v/>
      </c>
      <c r="G8" s="19" t="str">
        <f>IF(AND(回答用紙!$D$26=15,回答用紙!$I$26=3),"●","")</f>
        <v/>
      </c>
      <c r="H8" s="19" t="str">
        <f>IF(AND(回答用紙!$D$26=15,回答用紙!$I$26=4),"●","")</f>
        <v/>
      </c>
      <c r="I8" s="19" t="str">
        <f>IF(AND(回答用紙!$D$26=15,回答用紙!$I$26=5),"●","")</f>
        <v/>
      </c>
      <c r="J8" s="19" t="str">
        <f>IF(AND(回答用紙!$D$26=15,回答用紙!$I$26=6),"●","")</f>
        <v/>
      </c>
      <c r="K8" s="33" t="str">
        <f>IF(AND(回答用紙!$D$26=15,回答用紙!$I$26=7),"●","")</f>
        <v/>
      </c>
      <c r="L8" s="20" t="str">
        <f>IF(AND(回答用紙!$D$26=15,回答用紙!$I$26=8),"●","")</f>
        <v/>
      </c>
      <c r="M8" s="19" t="str">
        <f>IF(AND(回答用紙!$D$26=15,回答用紙!$I$26=9),"●","")</f>
        <v/>
      </c>
      <c r="N8" s="19" t="str">
        <f>IF(AND(回答用紙!$D$26=15,回答用紙!$I$26=10),"●","")</f>
        <v/>
      </c>
      <c r="O8" s="19" t="str">
        <f>IF(AND(回答用紙!$D$26=15,回答用紙!$I$26=11),"●","")</f>
        <v/>
      </c>
      <c r="P8" s="19" t="str">
        <f>IF(AND(回答用紙!$D$26=15,回答用紙!$I$26=12),"●","")</f>
        <v/>
      </c>
      <c r="Q8" s="19" t="str">
        <f>IF(AND(回答用紙!$D$26=15,回答用紙!$I$26=13),"●","")</f>
        <v/>
      </c>
      <c r="R8" s="19" t="str">
        <f>IF(AND(回答用紙!$D$26=15,回答用紙!$I$26=14),"●","")</f>
        <v/>
      </c>
      <c r="S8" s="19" t="str">
        <f>IF(AND(回答用紙!$D$26=15,回答用紙!$I$26=15),"●","")</f>
        <v/>
      </c>
      <c r="T8" s="21" t="str">
        <f>IF(AND(回答用紙!$D$26=15,回答用紙!$I$26=16),"●","")</f>
        <v/>
      </c>
      <c r="U8" s="21" t="str">
        <f>IF(AND(回答用紙!$D$26=15,回答用紙!$I$26=17),"●","")</f>
        <v/>
      </c>
      <c r="V8" s="21" t="str">
        <f>IF(AND(回答用紙!$D$26=15,回答用紙!$I$26=18),"●","")</f>
        <v/>
      </c>
      <c r="W8" s="21" t="str">
        <f>IF(AND(回答用紙!$D$26=15,回答用紙!$I$26=19),"●","")</f>
        <v/>
      </c>
      <c r="X8" s="21" t="str">
        <f>IF(AND(回答用紙!$D$26=15,回答用紙!$I$26=20),"●","")</f>
        <v/>
      </c>
      <c r="Y8" s="21" t="str">
        <f>IF(AND(回答用紙!$D$26=15,回答用紙!$I$26=21),"●","")</f>
        <v/>
      </c>
    </row>
    <row r="9" spans="2:25" ht="17.25" customHeight="1" thickBot="1" x14ac:dyDescent="0.2">
      <c r="B9" s="36"/>
      <c r="C9" s="2">
        <v>14</v>
      </c>
      <c r="D9" s="22" t="str">
        <f>IF(AND(回答用紙!$D$26=14,回答用紙!$I$26=0),"●","")</f>
        <v/>
      </c>
      <c r="E9" s="22" t="str">
        <f>IF(AND(回答用紙!$D$26=14,回答用紙!$I$26=1),"●","")</f>
        <v/>
      </c>
      <c r="F9" s="22" t="str">
        <f>IF(AND(回答用紙!$D$26=14,回答用紙!$I$26=2),"●","")</f>
        <v/>
      </c>
      <c r="G9" s="22" t="str">
        <f>IF(AND(回答用紙!$D$26=14,回答用紙!$I$26=3),"●","")</f>
        <v/>
      </c>
      <c r="H9" s="22" t="str">
        <f>IF(AND(回答用紙!$D$26=14,回答用紙!$I$26=4),"●","")</f>
        <v/>
      </c>
      <c r="I9" s="22" t="str">
        <f>IF(AND(回答用紙!$D$26=14,回答用紙!$I$26=5),"●","")</f>
        <v/>
      </c>
      <c r="J9" s="22" t="str">
        <f>IF(AND(回答用紙!$D$26=14,回答用紙!$I$26=6),"●","")</f>
        <v/>
      </c>
      <c r="K9" s="23" t="str">
        <f>IF(AND(回答用紙!$D$26=14,回答用紙!$I$26=7),"●","")</f>
        <v/>
      </c>
      <c r="L9" s="24" t="str">
        <f>IF(AND(回答用紙!$D$26=14,回答用紙!$I$26=8),"●","")</f>
        <v/>
      </c>
      <c r="M9" s="22" t="str">
        <f>IF(AND(回答用紙!$D$26=14,回答用紙!$I$26=9),"●","")</f>
        <v/>
      </c>
      <c r="N9" s="22" t="str">
        <f>IF(AND(回答用紙!$D$26=14,回答用紙!$I$26=10),"●","")</f>
        <v/>
      </c>
      <c r="O9" s="22" t="str">
        <f>IF(AND(回答用紙!$D$26=14,回答用紙!$I$26=11),"●","")</f>
        <v/>
      </c>
      <c r="P9" s="22" t="str">
        <f>IF(AND(回答用紙!$D$26=14,回答用紙!$I$26=12),"●","")</f>
        <v/>
      </c>
      <c r="Q9" s="22" t="str">
        <f>IF(AND(回答用紙!$D$26=14,回答用紙!$I$26=13),"●","")</f>
        <v/>
      </c>
      <c r="R9" s="22" t="str">
        <f>IF(AND(回答用紙!$D$26=14,回答用紙!$I$26=14),"●","")</f>
        <v/>
      </c>
      <c r="S9" s="22" t="str">
        <f>IF(AND(回答用紙!$D$26=14,回答用紙!$I$26=15),"●","")</f>
        <v/>
      </c>
      <c r="T9" s="21" t="str">
        <f>IF(AND(回答用紙!$D$26=14,回答用紙!$I$26=16),"●","")</f>
        <v/>
      </c>
      <c r="U9" s="21" t="str">
        <f>IF(AND(回答用紙!$D$26=14,回答用紙!$I$26=17),"●","")</f>
        <v/>
      </c>
      <c r="V9" s="21" t="str">
        <f>IF(AND(回答用紙!$D$26=14,回答用紙!$I$26=18),"●","")</f>
        <v/>
      </c>
      <c r="W9" s="21" t="str">
        <f>IF(AND(回答用紙!$D$26=14,回答用紙!$I$26=19),"●","")</f>
        <v/>
      </c>
      <c r="X9" s="21" t="str">
        <f>IF(AND(回答用紙!$D$26=14,回答用紙!$I$26=20),"●","")</f>
        <v/>
      </c>
      <c r="Y9" s="21" t="str">
        <f>IF(AND(回答用紙!$D$26=14,回答用紙!$I$26=21),"●","")</f>
        <v/>
      </c>
    </row>
    <row r="10" spans="2:25" ht="17.25" customHeight="1" thickTop="1" x14ac:dyDescent="0.15">
      <c r="B10" s="36"/>
      <c r="C10" s="3">
        <v>13</v>
      </c>
      <c r="D10" s="25" t="str">
        <f>IF(AND(回答用紙!$D$26=13,回答用紙!$I$26=0),"●","")</f>
        <v/>
      </c>
      <c r="E10" s="25" t="str">
        <f>IF(AND(回答用紙!$D$26=13,回答用紙!$I$26=1),"●","")</f>
        <v/>
      </c>
      <c r="F10" s="25" t="str">
        <f>IF(AND(回答用紙!$D$26=13,回答用紙!$I$26=2),"●","")</f>
        <v/>
      </c>
      <c r="G10" s="25" t="str">
        <f>IF(AND(回答用紙!$D$26=13,回答用紙!$I$26=3),"●","")</f>
        <v/>
      </c>
      <c r="H10" s="25" t="str">
        <f>IF(AND(回答用紙!$D$26=13,回答用紙!$I$26=4),"●","")</f>
        <v/>
      </c>
      <c r="I10" s="25" t="str">
        <f>IF(AND(回答用紙!$D$26=13,回答用紙!$I$26=5),"●","")</f>
        <v/>
      </c>
      <c r="J10" s="25" t="str">
        <f>IF(AND(回答用紙!$D$26=13,回答用紙!$I$26=6),"●","")</f>
        <v/>
      </c>
      <c r="K10" s="26" t="str">
        <f>IF(AND(回答用紙!$D$26=13,回答用紙!$I$26=7),"●","")</f>
        <v/>
      </c>
      <c r="L10" s="27" t="str">
        <f>IF(AND(回答用紙!$D$26=13,回答用紙!$I$26=8),"●","")</f>
        <v/>
      </c>
      <c r="M10" s="25" t="str">
        <f>IF(AND(回答用紙!$D$26=13,回答用紙!$I$26=9),"●","")</f>
        <v/>
      </c>
      <c r="N10" s="25" t="str">
        <f>IF(AND(回答用紙!$D$26=13,回答用紙!$I$26=10),"●","")</f>
        <v/>
      </c>
      <c r="O10" s="25" t="str">
        <f>IF(AND(回答用紙!$D$26=13,回答用紙!$I$26=11),"●","")</f>
        <v/>
      </c>
      <c r="P10" s="25" t="str">
        <f>IF(AND(回答用紙!$D$26=13,回答用紙!$I$26=12),"●","")</f>
        <v/>
      </c>
      <c r="Q10" s="25" t="str">
        <f>IF(AND(回答用紙!$D$26=13,回答用紙!$I$26=13),"●","")</f>
        <v/>
      </c>
      <c r="R10" s="25" t="str">
        <f>IF(AND(回答用紙!$D$26=13,回答用紙!$I$26=14),"●","")</f>
        <v/>
      </c>
      <c r="S10" s="25" t="str">
        <f>IF(AND(回答用紙!$D$26=13,回答用紙!$I$26=15),"●","")</f>
        <v/>
      </c>
      <c r="T10" s="21" t="str">
        <f>IF(AND(回答用紙!$D$26=13,回答用紙!$I$26=16),"●","")</f>
        <v/>
      </c>
      <c r="U10" s="21" t="str">
        <f>IF(AND(回答用紙!$D$26=13,回答用紙!$I$26=17),"●","")</f>
        <v/>
      </c>
      <c r="V10" s="21" t="str">
        <f>IF(AND(回答用紙!$D$26=13,回答用紙!$I$26=18),"●","")</f>
        <v/>
      </c>
      <c r="W10" s="21" t="str">
        <f>IF(AND(回答用紙!$D$26=13,回答用紙!$I$26=19),"●","")</f>
        <v/>
      </c>
      <c r="X10" s="21" t="str">
        <f>IF(AND(回答用紙!$D$26=13,回答用紙!$I$26=20),"●","")</f>
        <v/>
      </c>
      <c r="Y10" s="21" t="str">
        <f>IF(AND(回答用紙!$D$26=13,回答用紙!$I$26=21),"●","")</f>
        <v/>
      </c>
    </row>
    <row r="11" spans="2:25" ht="17.25" customHeight="1" x14ac:dyDescent="0.15">
      <c r="B11" s="36"/>
      <c r="C11" s="1">
        <v>12</v>
      </c>
      <c r="D11" s="19" t="str">
        <f>IF(AND(回答用紙!$D$26=12,回答用紙!$I$26=0),"●","")</f>
        <v/>
      </c>
      <c r="E11" s="19" t="str">
        <f>IF(AND(回答用紙!$D$26=12,回答用紙!$I$26=1),"●","")</f>
        <v/>
      </c>
      <c r="F11" s="19" t="str">
        <f>IF(AND(回答用紙!$D$26=12,回答用紙!$I$26=2),"●","")</f>
        <v/>
      </c>
      <c r="G11" s="19" t="str">
        <f>IF(AND(回答用紙!$D$26=12,回答用紙!$I$26=3),"●","")</f>
        <v/>
      </c>
      <c r="H11" s="19" t="str">
        <f>IF(AND(回答用紙!$D$26=12,回答用紙!$I$26=4),"●","")</f>
        <v/>
      </c>
      <c r="I11" s="19" t="str">
        <f>IF(AND(回答用紙!$D$26=12,回答用紙!$I$26=5),"●","")</f>
        <v/>
      </c>
      <c r="J11" s="19" t="str">
        <f>IF(AND(回答用紙!$D$26=12,回答用紙!$I$26=6),"●","")</f>
        <v/>
      </c>
      <c r="K11" s="33" t="str">
        <f>IF(AND(回答用紙!$D$26=12,回答用紙!$I$26=7),"●","")</f>
        <v/>
      </c>
      <c r="L11" s="20" t="str">
        <f>IF(AND(回答用紙!$D$26=12,回答用紙!$I$26=8),"●","")</f>
        <v/>
      </c>
      <c r="M11" s="19" t="str">
        <f>IF(AND(回答用紙!$D$26=12,回答用紙!$I$26=9),"●","")</f>
        <v/>
      </c>
      <c r="N11" s="19" t="str">
        <f>IF(AND(回答用紙!$D$26=12,回答用紙!$I$26=10),"●","")</f>
        <v/>
      </c>
      <c r="O11" s="19" t="str">
        <f>IF(AND(回答用紙!$D$26=12,回答用紙!$I$26=11),"●","")</f>
        <v/>
      </c>
      <c r="P11" s="19" t="str">
        <f>IF(AND(回答用紙!$D$26=12,回答用紙!$I$26=12),"●","")</f>
        <v/>
      </c>
      <c r="Q11" s="19" t="str">
        <f>IF(AND(回答用紙!$D$26=12,回答用紙!$I$26=13),"●","")</f>
        <v/>
      </c>
      <c r="R11" s="19" t="str">
        <f>IF(AND(回答用紙!$D$26=12,回答用紙!$I$26=14),"●","")</f>
        <v/>
      </c>
      <c r="S11" s="19" t="str">
        <f>IF(AND(回答用紙!$D$26=12,回答用紙!$I$26=15),"●","")</f>
        <v/>
      </c>
      <c r="T11" s="21" t="str">
        <f>IF(AND(回答用紙!$D$26=12,回答用紙!$I$26=16),"●","")</f>
        <v/>
      </c>
      <c r="U11" s="21" t="str">
        <f>IF(AND(回答用紙!$D$26=12,回答用紙!$I$26=17),"●","")</f>
        <v/>
      </c>
      <c r="V11" s="21" t="str">
        <f>IF(AND(回答用紙!$D$26=12,回答用紙!$I$26=18),"●","")</f>
        <v/>
      </c>
      <c r="W11" s="21" t="str">
        <f>IF(AND(回答用紙!$D$26=12,回答用紙!$I$26=19),"●","")</f>
        <v/>
      </c>
      <c r="X11" s="21" t="str">
        <f>IF(AND(回答用紙!$D$26=12,回答用紙!$I$26=20),"●","")</f>
        <v/>
      </c>
      <c r="Y11" s="21" t="str">
        <f>IF(AND(回答用紙!$D$26=12,回答用紙!$I$26=21),"●","")</f>
        <v/>
      </c>
    </row>
    <row r="12" spans="2:25" ht="17.25" customHeight="1" x14ac:dyDescent="0.15">
      <c r="B12" s="36"/>
      <c r="C12" s="1">
        <v>11</v>
      </c>
      <c r="D12" s="19" t="str">
        <f>IF(AND(回答用紙!$D$26=11,回答用紙!$I$26=0),"●","")</f>
        <v/>
      </c>
      <c r="E12" s="19" t="str">
        <f>IF(AND(回答用紙!$D$26=11,回答用紙!$I$26=1),"●","")</f>
        <v/>
      </c>
      <c r="F12" s="19" t="str">
        <f>IF(AND(回答用紙!$D$26=11,回答用紙!$I$26=2),"●","")</f>
        <v/>
      </c>
      <c r="G12" s="19" t="str">
        <f>IF(AND(回答用紙!$D$26=11,回答用紙!$I$26=3),"●","")</f>
        <v/>
      </c>
      <c r="H12" s="19" t="str">
        <f>IF(AND(回答用紙!$D$26=11,回答用紙!$I$26=4),"●","")</f>
        <v/>
      </c>
      <c r="I12" s="19" t="str">
        <f>IF(AND(回答用紙!$D$26=11,回答用紙!$I$26=5),"●","")</f>
        <v/>
      </c>
      <c r="J12" s="19" t="str">
        <f>IF(AND(回答用紙!$D$26=11,回答用紙!$I$26=6),"●","")</f>
        <v/>
      </c>
      <c r="K12" s="33" t="str">
        <f>IF(AND(回答用紙!$D$26=11,回答用紙!$I$26=7),"●","")</f>
        <v/>
      </c>
      <c r="L12" s="20" t="str">
        <f>IF(AND(回答用紙!$D$26=11,回答用紙!$I$26=8),"●","")</f>
        <v/>
      </c>
      <c r="M12" s="19" t="str">
        <f>IF(AND(回答用紙!$D$26=11,回答用紙!$I$26=9),"●","")</f>
        <v/>
      </c>
      <c r="N12" s="19" t="str">
        <f>IF(AND(回答用紙!$D$26=11,回答用紙!$I$26=10),"●","")</f>
        <v/>
      </c>
      <c r="O12" s="19" t="str">
        <f>IF(AND(回答用紙!$D$26=11,回答用紙!$I$26=11),"●","")</f>
        <v/>
      </c>
      <c r="P12" s="19" t="str">
        <f>IF(AND(回答用紙!$D$26=11,回答用紙!$I$26=12),"●","")</f>
        <v/>
      </c>
      <c r="Q12" s="19" t="str">
        <f>IF(AND(回答用紙!$D$26=11,回答用紙!$I$26=13),"●","")</f>
        <v/>
      </c>
      <c r="R12" s="19" t="str">
        <f>IF(AND(回答用紙!$D$26=11,回答用紙!$I$26=14),"●","")</f>
        <v/>
      </c>
      <c r="S12" s="19" t="str">
        <f>IF(AND(回答用紙!$D$26=11,回答用紙!$I$26=15),"●","")</f>
        <v/>
      </c>
      <c r="T12" s="21" t="str">
        <f>IF(AND(回答用紙!$D$26=11,回答用紙!$I$26=16),"●","")</f>
        <v/>
      </c>
      <c r="U12" s="21" t="str">
        <f>IF(AND(回答用紙!$D$26=11,回答用紙!$I$26=17),"●","")</f>
        <v/>
      </c>
      <c r="V12" s="21" t="str">
        <f>IF(AND(回答用紙!$D$26=11,回答用紙!$I$26=18),"●","")</f>
        <v/>
      </c>
      <c r="W12" s="21" t="str">
        <f>IF(AND(回答用紙!$D$26=11,回答用紙!$I$26=19),"●","")</f>
        <v/>
      </c>
      <c r="X12" s="21" t="str">
        <f>IF(AND(回答用紙!$D$26=11,回答用紙!$I$26=20),"●","")</f>
        <v/>
      </c>
      <c r="Y12" s="21" t="str">
        <f>IF(AND(回答用紙!$D$26=11,回答用紙!$I$26=21),"●","")</f>
        <v/>
      </c>
    </row>
    <row r="13" spans="2:25" ht="17.25" customHeight="1" x14ac:dyDescent="0.15">
      <c r="B13" s="36"/>
      <c r="C13" s="1">
        <v>10</v>
      </c>
      <c r="D13" s="19" t="str">
        <f>IF(AND(回答用紙!$D$26=10,回答用紙!$I$26=0),"●","")</f>
        <v/>
      </c>
      <c r="E13" s="19" t="str">
        <f>IF(AND(回答用紙!$D$26=10,回答用紙!$I$26=1),"●","")</f>
        <v/>
      </c>
      <c r="F13" s="19" t="str">
        <f>IF(AND(回答用紙!$D$26=10,回答用紙!$I$26=2),"●","")</f>
        <v/>
      </c>
      <c r="G13" s="19" t="str">
        <f>IF(AND(回答用紙!$D$26=10,回答用紙!$I$26=3),"●","")</f>
        <v/>
      </c>
      <c r="H13" s="19" t="str">
        <f>IF(AND(回答用紙!$D$26=10,回答用紙!$I$26=4),"●","")</f>
        <v/>
      </c>
      <c r="I13" s="19" t="str">
        <f>IF(AND(回答用紙!$D$26=10,回答用紙!$I$26=5),"●","")</f>
        <v/>
      </c>
      <c r="J13" s="19" t="str">
        <f>IF(AND(回答用紙!$D$26=10,回答用紙!$I$26=6),"●","")</f>
        <v/>
      </c>
      <c r="K13" s="33" t="str">
        <f>IF(AND(回答用紙!$D$26=10,回答用紙!$I$26=7),"●","")</f>
        <v/>
      </c>
      <c r="L13" s="20" t="str">
        <f>IF(AND(回答用紙!$D$26=10,回答用紙!$I$26=8),"●","")</f>
        <v/>
      </c>
      <c r="M13" s="19" t="str">
        <f>IF(AND(回答用紙!$D$26=10,回答用紙!$I$26=9),"●","")</f>
        <v/>
      </c>
      <c r="N13" s="19" t="str">
        <f>IF(AND(回答用紙!$D$26=10,回答用紙!$I$26=10),"●","")</f>
        <v/>
      </c>
      <c r="O13" s="19" t="str">
        <f>IF(AND(回答用紙!$D$26=10,回答用紙!$I$26=11),"●","")</f>
        <v/>
      </c>
      <c r="P13" s="19" t="str">
        <f>IF(AND(回答用紙!$D$26=10,回答用紙!$I$26=12),"●","")</f>
        <v/>
      </c>
      <c r="Q13" s="19" t="str">
        <f>IF(AND(回答用紙!$D$26=10,回答用紙!$I$26=13),"●","")</f>
        <v/>
      </c>
      <c r="R13" s="19" t="str">
        <f>IF(AND(回答用紙!$D$26=10,回答用紙!$I$26=14),"●","")</f>
        <v/>
      </c>
      <c r="S13" s="19" t="str">
        <f>IF(AND(回答用紙!$D$26=10,回答用紙!$I$26=15),"●","")</f>
        <v/>
      </c>
      <c r="T13" s="21" t="str">
        <f>IF(AND(回答用紙!$D$26=10,回答用紙!$I$26=16),"●","")</f>
        <v/>
      </c>
      <c r="U13" s="21" t="str">
        <f>IF(AND(回答用紙!$D$26=10,回答用紙!$I$26=17),"●","")</f>
        <v/>
      </c>
      <c r="V13" s="21" t="str">
        <f>IF(AND(回答用紙!$D$26=10,回答用紙!$I$26=18),"●","")</f>
        <v/>
      </c>
      <c r="W13" s="21" t="str">
        <f>IF(AND(回答用紙!$D$26=10,回答用紙!$I$26=19),"●","")</f>
        <v/>
      </c>
      <c r="X13" s="21" t="str">
        <f>IF(AND(回答用紙!$D$26=10,回答用紙!$I$26=20),"●","")</f>
        <v/>
      </c>
      <c r="Y13" s="21" t="str">
        <f>IF(AND(回答用紙!$D$26=10,回答用紙!$I$26=21),"●","")</f>
        <v/>
      </c>
    </row>
    <row r="14" spans="2:25" ht="17.25" customHeight="1" x14ac:dyDescent="0.15">
      <c r="B14" s="36"/>
      <c r="C14" s="1">
        <v>9</v>
      </c>
      <c r="D14" s="19" t="str">
        <f>IF(AND(回答用紙!$D$26=9,回答用紙!$I$26=0),"●","")</f>
        <v/>
      </c>
      <c r="E14" s="19" t="str">
        <f>IF(AND(回答用紙!$D$26=9,回答用紙!$I$26=1),"●","")</f>
        <v/>
      </c>
      <c r="F14" s="19" t="str">
        <f>IF(AND(回答用紙!$D$26=9,回答用紙!$I$26=2),"●","")</f>
        <v/>
      </c>
      <c r="G14" s="19" t="str">
        <f>IF(AND(回答用紙!$D$26=9,回答用紙!$I$26=3),"●","")</f>
        <v/>
      </c>
      <c r="H14" s="19" t="str">
        <f>IF(AND(回答用紙!$D$26=9,回答用紙!$I$26=4),"●","")</f>
        <v/>
      </c>
      <c r="I14" s="19" t="str">
        <f>IF(AND(回答用紙!$D$26=9,回答用紙!$I$26=5),"●","")</f>
        <v/>
      </c>
      <c r="J14" s="19" t="str">
        <f>IF(AND(回答用紙!$D$26=9,回答用紙!$I$26=6),"●","")</f>
        <v/>
      </c>
      <c r="K14" s="33" t="str">
        <f>IF(AND(回答用紙!$D$26=9,回答用紙!$I$26=7),"●","")</f>
        <v/>
      </c>
      <c r="L14" s="20" t="str">
        <f>IF(AND(回答用紙!$D$26=9,回答用紙!$I$26=8),"●","")</f>
        <v/>
      </c>
      <c r="M14" s="19" t="str">
        <f>IF(AND(回答用紙!$D$26=9,回答用紙!$I$26=9),"●","")</f>
        <v/>
      </c>
      <c r="N14" s="19" t="str">
        <f>IF(AND(回答用紙!$D$26=9,回答用紙!$I$26=10),"●","")</f>
        <v/>
      </c>
      <c r="O14" s="19" t="str">
        <f>IF(AND(回答用紙!$D$26=9,回答用紙!$I$26=11),"●","")</f>
        <v/>
      </c>
      <c r="P14" s="19" t="str">
        <f>IF(AND(回答用紙!$D$26=9,回答用紙!$I$26=12),"●","")</f>
        <v/>
      </c>
      <c r="Q14" s="19" t="str">
        <f>IF(AND(回答用紙!$D$26=9,回答用紙!$I$26=13),"●","")</f>
        <v/>
      </c>
      <c r="R14" s="19" t="str">
        <f>IF(AND(回答用紙!$D$26=9,回答用紙!$I$26=14),"●","")</f>
        <v/>
      </c>
      <c r="S14" s="19" t="str">
        <f>IF(AND(回答用紙!$D$26=9,回答用紙!$I$26=15),"●","")</f>
        <v/>
      </c>
      <c r="T14" s="21" t="str">
        <f>IF(AND(回答用紙!$D$26=9,回答用紙!$I$26=16),"●","")</f>
        <v/>
      </c>
      <c r="U14" s="21" t="str">
        <f>IF(AND(回答用紙!$D$26=9,回答用紙!$I$26=17),"●","")</f>
        <v/>
      </c>
      <c r="V14" s="21" t="str">
        <f>IF(AND(回答用紙!$D$26=9,回答用紙!$I$26=18),"●","")</f>
        <v/>
      </c>
      <c r="W14" s="21" t="str">
        <f>IF(AND(回答用紙!$D$26=9,回答用紙!$I$26=19),"●","")</f>
        <v/>
      </c>
      <c r="X14" s="21" t="str">
        <f>IF(AND(回答用紙!$D$26=9,回答用紙!$I$26=20),"●","")</f>
        <v/>
      </c>
      <c r="Y14" s="21" t="str">
        <f>IF(AND(回答用紙!$D$26=9,回答用紙!$I$26=21),"●","")</f>
        <v/>
      </c>
    </row>
    <row r="15" spans="2:25" ht="17.25" customHeight="1" x14ac:dyDescent="0.15">
      <c r="B15" s="36"/>
      <c r="C15" s="1">
        <v>8</v>
      </c>
      <c r="D15" s="19" t="str">
        <f>IF(AND(回答用紙!$D$26=8,回答用紙!$I$26=0),"●","")</f>
        <v/>
      </c>
      <c r="E15" s="19" t="str">
        <f>IF(AND(回答用紙!$D$26=8,回答用紙!$I$26=1),"●","")</f>
        <v/>
      </c>
      <c r="F15" s="19" t="str">
        <f>IF(AND(回答用紙!$D$26=8,回答用紙!$I$26=2),"●","")</f>
        <v/>
      </c>
      <c r="G15" s="19" t="str">
        <f>IF(AND(回答用紙!$D$26=8,回答用紙!$I$26=3),"●","")</f>
        <v/>
      </c>
      <c r="H15" s="19" t="str">
        <f>IF(AND(回答用紙!$D$26=8,回答用紙!$I$26=4),"●","")</f>
        <v/>
      </c>
      <c r="I15" s="19" t="str">
        <f>IF(AND(回答用紙!$D$26=8,回答用紙!$I$26=5),"●","")</f>
        <v/>
      </c>
      <c r="J15" s="19" t="str">
        <f>IF(AND(回答用紙!$D$26=8,回答用紙!$I$26=6),"●","")</f>
        <v/>
      </c>
      <c r="K15" s="33" t="str">
        <f>IF(AND(回答用紙!$D$26=8,回答用紙!$I$26=7),"●","")</f>
        <v/>
      </c>
      <c r="L15" s="20" t="str">
        <f>IF(AND(回答用紙!$D$26=8,回答用紙!$I$26=8),"●","")</f>
        <v/>
      </c>
      <c r="M15" s="19" t="str">
        <f>IF(AND(回答用紙!$D$26=8,回答用紙!$I$26=9),"●","")</f>
        <v/>
      </c>
      <c r="N15" s="19" t="str">
        <f>IF(AND(回答用紙!$D$26=8,回答用紙!$I$26=10),"●","")</f>
        <v/>
      </c>
      <c r="O15" s="19" t="str">
        <f>IF(AND(回答用紙!$D$26=8,回答用紙!$I$26=11),"●","")</f>
        <v/>
      </c>
      <c r="P15" s="19" t="str">
        <f>IF(AND(回答用紙!$D$26=8,回答用紙!$I$26=12),"●","")</f>
        <v/>
      </c>
      <c r="Q15" s="19" t="str">
        <f>IF(AND(回答用紙!$D$26=8,回答用紙!$I$26=13),"●","")</f>
        <v/>
      </c>
      <c r="R15" s="19" t="str">
        <f>IF(AND(回答用紙!$D$26=8,回答用紙!$I$26=14),"●","")</f>
        <v/>
      </c>
      <c r="S15" s="19" t="str">
        <f>IF(AND(回答用紙!$D$26=8,回答用紙!$I$26=15),"●","")</f>
        <v/>
      </c>
      <c r="T15" s="21" t="str">
        <f>IF(AND(回答用紙!$D$26=8,回答用紙!$I$26=16),"●","")</f>
        <v/>
      </c>
      <c r="U15" s="21" t="str">
        <f>IF(AND(回答用紙!$D$26=8,回答用紙!$I$26=17),"●","")</f>
        <v/>
      </c>
      <c r="V15" s="21" t="str">
        <f>IF(AND(回答用紙!$D$26=8,回答用紙!$I$26=18),"●","")</f>
        <v/>
      </c>
      <c r="W15" s="21" t="str">
        <f>IF(AND(回答用紙!$D$26=8,回答用紙!$I$26=19),"●","")</f>
        <v/>
      </c>
      <c r="X15" s="21" t="str">
        <f>IF(AND(回答用紙!$D$26=8,回答用紙!$I$26=20),"●","")</f>
        <v/>
      </c>
      <c r="Y15" s="21" t="str">
        <f>IF(AND(回答用紙!$D$26=8,回答用紙!$I$26=21),"●","")</f>
        <v/>
      </c>
    </row>
    <row r="16" spans="2:25" ht="17.25" customHeight="1" x14ac:dyDescent="0.15">
      <c r="B16" s="36"/>
      <c r="C16" s="1">
        <v>7</v>
      </c>
      <c r="D16" s="19" t="str">
        <f>IF(AND(回答用紙!$D$26=7,回答用紙!$I$26=0),"●","")</f>
        <v/>
      </c>
      <c r="E16" s="19" t="str">
        <f>IF(AND(回答用紙!$D$26=7,回答用紙!$I$26=1),"●","")</f>
        <v/>
      </c>
      <c r="F16" s="19" t="str">
        <f>IF(AND(回答用紙!$D$26=7,回答用紙!$I$26=2),"●","")</f>
        <v/>
      </c>
      <c r="G16" s="19" t="str">
        <f>IF(AND(回答用紙!$D$26=6,回答用紙!$I$26=3),"●","")</f>
        <v/>
      </c>
      <c r="H16" s="19" t="str">
        <f>IF(AND(回答用紙!$D$26=7,回答用紙!$I$26=4),"●","")</f>
        <v/>
      </c>
      <c r="I16" s="19" t="str">
        <f>IF(AND(回答用紙!$D$26=7,回答用紙!$I$26=5),"●","")</f>
        <v/>
      </c>
      <c r="J16" s="19" t="str">
        <f>IF(AND(回答用紙!$D$26=7,回答用紙!$I$26=6),"●","")</f>
        <v/>
      </c>
      <c r="K16" s="33" t="str">
        <f>IF(AND(回答用紙!$D$26=7,回答用紙!$I$26=7),"●","")</f>
        <v/>
      </c>
      <c r="L16" s="20" t="str">
        <f>IF(AND(回答用紙!$D$26=7,回答用紙!$I$26=8),"●","")</f>
        <v/>
      </c>
      <c r="M16" s="19" t="str">
        <f>IF(AND(回答用紙!$D$26=7,回答用紙!$I$26=9),"●","")</f>
        <v/>
      </c>
      <c r="N16" s="19" t="str">
        <f>IF(AND(回答用紙!$D$26=7,回答用紙!$I$26=10),"●","")</f>
        <v/>
      </c>
      <c r="O16" s="19" t="str">
        <f>IF(AND(回答用紙!$D$26=7,回答用紙!$I$26=11),"●","")</f>
        <v/>
      </c>
      <c r="P16" s="19" t="str">
        <f>IF(AND(回答用紙!$D$26=7,回答用紙!$I$26=12),"●","")</f>
        <v/>
      </c>
      <c r="Q16" s="19" t="str">
        <f>IF(AND(回答用紙!$D$26=7,回答用紙!$I$26=13),"●","")</f>
        <v/>
      </c>
      <c r="R16" s="19" t="str">
        <f>IF(AND(回答用紙!$D$26=7,回答用紙!$I$26=14),"●","")</f>
        <v/>
      </c>
      <c r="S16" s="19" t="str">
        <f>IF(AND(回答用紙!$D$26=7,回答用紙!$I$26=15),"●","")</f>
        <v/>
      </c>
      <c r="T16" s="21" t="str">
        <f>IF(AND(回答用紙!$D$26=7,回答用紙!$I$26=16),"●","")</f>
        <v/>
      </c>
      <c r="U16" s="21" t="str">
        <f>IF(AND(回答用紙!$D$26=7,回答用紙!$I$26=17),"●","")</f>
        <v/>
      </c>
      <c r="V16" s="21" t="str">
        <f>IF(AND(回答用紙!$D$26=7,回答用紙!$I$26=18),"●","")</f>
        <v/>
      </c>
      <c r="W16" s="21" t="str">
        <f>IF(AND(回答用紙!$D$26=7,回答用紙!$I$26=19),"●","")</f>
        <v/>
      </c>
      <c r="X16" s="21" t="str">
        <f>IF(AND(回答用紙!$D$26=7,回答用紙!$I$26=20),"●","")</f>
        <v/>
      </c>
      <c r="Y16" s="21" t="str">
        <f>IF(AND(回答用紙!$D$26=7,回答用紙!$I$26=21),"●","")</f>
        <v/>
      </c>
    </row>
    <row r="17" spans="2:25" ht="17.25" customHeight="1" x14ac:dyDescent="0.15">
      <c r="B17" s="36"/>
      <c r="C17" s="1">
        <v>6</v>
      </c>
      <c r="D17" s="19" t="str">
        <f>IF(AND(回答用紙!$D$26=6,回答用紙!$I$26=0),"●","")</f>
        <v/>
      </c>
      <c r="E17" s="19" t="str">
        <f>IF(AND(回答用紙!$D$26=6,回答用紙!$I$26=1),"●","")</f>
        <v/>
      </c>
      <c r="F17" s="19" t="str">
        <f>IF(AND(回答用紙!$D$26=6,回答用紙!$I$26=2),"●","")</f>
        <v/>
      </c>
      <c r="G17" s="19" t="str">
        <f>IF(AND(回答用紙!$D$26=6,回答用紙!$I$26=3),"●","")</f>
        <v/>
      </c>
      <c r="H17" s="19" t="str">
        <f>IF(AND(回答用紙!$D$26=6,回答用紙!$I$26=4),"●","")</f>
        <v/>
      </c>
      <c r="I17" s="19" t="str">
        <f>IF(AND(回答用紙!$D$26=6,回答用紙!$I$26=5),"●","")</f>
        <v/>
      </c>
      <c r="J17" s="19" t="str">
        <f>IF(AND(回答用紙!$D$26=6,回答用紙!$I$26=6),"●","")</f>
        <v/>
      </c>
      <c r="K17" s="33" t="str">
        <f>IF(AND(回答用紙!$D$26=6,回答用紙!$I$26=7),"●","")</f>
        <v/>
      </c>
      <c r="L17" s="20" t="str">
        <f>IF(AND(回答用紙!$D$26=6,回答用紙!$I$26=8),"●","")</f>
        <v/>
      </c>
      <c r="M17" s="19" t="str">
        <f>IF(AND(回答用紙!$D$26=6,回答用紙!$I$26=9),"●","")</f>
        <v/>
      </c>
      <c r="N17" s="19" t="str">
        <f>IF(AND(回答用紙!$D$26=6,回答用紙!$I$26=10),"●","")</f>
        <v/>
      </c>
      <c r="O17" s="19" t="str">
        <f>IF(AND(回答用紙!$D$26=6,回答用紙!$I$26=11),"●","")</f>
        <v/>
      </c>
      <c r="P17" s="19" t="str">
        <f>IF(AND(回答用紙!$D$26=6,回答用紙!$I$26=12),"●","")</f>
        <v/>
      </c>
      <c r="Q17" s="19" t="str">
        <f>IF(AND(回答用紙!$D$26=6,回答用紙!$I$26=13),"●","")</f>
        <v/>
      </c>
      <c r="R17" s="19" t="str">
        <f>IF(AND(回答用紙!$D$26=6,回答用紙!$I$26=14),"●","")</f>
        <v/>
      </c>
      <c r="S17" s="19" t="str">
        <f>IF(AND(回答用紙!$D$26=6,回答用紙!$I$26=15),"●","")</f>
        <v/>
      </c>
      <c r="T17" s="21" t="str">
        <f>IF(AND(回答用紙!$D$26=6,回答用紙!$I$26=16),"●","")</f>
        <v/>
      </c>
      <c r="U17" s="21" t="str">
        <f>IF(AND(回答用紙!$D$26=6,回答用紙!$I$26=17),"●","")</f>
        <v/>
      </c>
      <c r="V17" s="21" t="str">
        <f>IF(AND(回答用紙!$D$26=6,回答用紙!$I$26=18),"●","")</f>
        <v/>
      </c>
      <c r="W17" s="21" t="str">
        <f>IF(AND(回答用紙!$D$26=6,回答用紙!$I$26=19),"●","")</f>
        <v/>
      </c>
      <c r="X17" s="21" t="str">
        <f>IF(AND(回答用紙!$D$26=6,回答用紙!$I$26=20),"●","")</f>
        <v/>
      </c>
      <c r="Y17" s="21" t="str">
        <f>IF(AND(回答用紙!$D$26=6,回答用紙!$I$26=21),"●","")</f>
        <v/>
      </c>
    </row>
    <row r="18" spans="2:25" ht="17.25" customHeight="1" x14ac:dyDescent="0.15">
      <c r="B18" s="36"/>
      <c r="C18" s="1">
        <v>5</v>
      </c>
      <c r="D18" s="21" t="str">
        <f>IF(AND(回答用紙!$D$26=5,回答用紙!$I$26=0),"●","")</f>
        <v/>
      </c>
      <c r="E18" s="21" t="str">
        <f>IF(AND(回答用紙!$D$26=5,回答用紙!$I$26=1),"●","")</f>
        <v/>
      </c>
      <c r="F18" s="21" t="str">
        <f>IF(AND(回答用紙!$D$26=5,回答用紙!$I$26=2),"●","")</f>
        <v/>
      </c>
      <c r="G18" s="21" t="str">
        <f>IF(AND(回答用紙!$D$26=5,回答用紙!$I$26=3),"●","")</f>
        <v/>
      </c>
      <c r="H18" s="21" t="str">
        <f>IF(AND(回答用紙!$D$26=5,回答用紙!$I$26=4),"●","")</f>
        <v/>
      </c>
      <c r="I18" s="21" t="str">
        <f>IF(AND(回答用紙!$D$26=5,回答用紙!$I$26=5),"●","")</f>
        <v/>
      </c>
      <c r="J18" s="21" t="str">
        <f>IF(AND(回答用紙!$D$26=5,回答用紙!$I$26=6),"●","")</f>
        <v/>
      </c>
      <c r="K18" s="21" t="str">
        <f>IF(AND(回答用紙!$D$26=5,回答用紙!$I$26=7),"●","")</f>
        <v/>
      </c>
      <c r="L18" s="21" t="str">
        <f>IF(AND(回答用紙!$D$26=5,回答用紙!$I$26=8),"●","")</f>
        <v/>
      </c>
      <c r="M18" s="21" t="str">
        <f>IF(AND(回答用紙!$D$26=5,回答用紙!$I$26=9),"●","")</f>
        <v/>
      </c>
      <c r="N18" s="21" t="str">
        <f>IF(AND(回答用紙!$D$26=5,回答用紙!$I$26=10),"●","")</f>
        <v/>
      </c>
      <c r="O18" s="21" t="str">
        <f>IF(AND(回答用紙!$D$26=5,回答用紙!$I$26=11),"●","")</f>
        <v/>
      </c>
      <c r="P18" s="21" t="str">
        <f>IF(AND(回答用紙!$D$26=5,回答用紙!$I$26=12),"●","")</f>
        <v/>
      </c>
      <c r="Q18" s="21" t="str">
        <f>IF(AND(回答用紙!$D$26=5,回答用紙!$I$26=13),"●","")</f>
        <v/>
      </c>
      <c r="R18" s="21" t="str">
        <f>IF(AND(回答用紙!$D$26=5,回答用紙!$I$26=14),"●","")</f>
        <v/>
      </c>
      <c r="S18" s="21" t="str">
        <f>IF(AND(回答用紙!$D$26=5,回答用紙!$I$26=15),"●","")</f>
        <v/>
      </c>
      <c r="T18" s="21" t="str">
        <f>IF(AND(回答用紙!$D$26=5,回答用紙!$I$26=16),"●","")</f>
        <v/>
      </c>
      <c r="U18" s="21" t="str">
        <f>IF(AND(回答用紙!$D$26=5,回答用紙!$I$26=17),"●","")</f>
        <v/>
      </c>
      <c r="V18" s="21" t="str">
        <f>IF(AND(回答用紙!$D$26=5,回答用紙!$I$26=18),"●","")</f>
        <v/>
      </c>
      <c r="W18" s="21" t="str">
        <f>IF(AND(回答用紙!$D$26=5,回答用紙!$I$26=19),"●","")</f>
        <v/>
      </c>
      <c r="X18" s="21" t="str">
        <f>IF(AND(回答用紙!$D$26=5,回答用紙!$I$26=20),"●","")</f>
        <v/>
      </c>
      <c r="Y18" s="21" t="str">
        <f>IF(AND(回答用紙!$D$26=5,回答用紙!$I$26=21),"●","")</f>
        <v/>
      </c>
    </row>
    <row r="19" spans="2:25" ht="17.25" customHeight="1" x14ac:dyDescent="0.15">
      <c r="B19" s="36"/>
      <c r="C19" s="1">
        <v>4</v>
      </c>
      <c r="D19" s="21" t="str">
        <f>IF(AND(回答用紙!$D$26=4,回答用紙!$I$26=0),"●","")</f>
        <v/>
      </c>
      <c r="E19" s="21" t="str">
        <f>IF(AND(回答用紙!$D$26=4,回答用紙!$I$26=1),"●","")</f>
        <v/>
      </c>
      <c r="F19" s="21" t="str">
        <f>IF(AND(回答用紙!$D$26=4,回答用紙!$I$26=2),"●","")</f>
        <v/>
      </c>
      <c r="G19" s="21" t="str">
        <f>IF(AND(回答用紙!$D$26=4,回答用紙!$I$26=3),"●","")</f>
        <v/>
      </c>
      <c r="H19" s="21" t="str">
        <f>IF(AND(回答用紙!$D$26=4,回答用紙!$I$26=4),"●","")</f>
        <v/>
      </c>
      <c r="I19" s="21" t="str">
        <f>IF(AND(回答用紙!$D$26=4,回答用紙!$I$26=5),"●","")</f>
        <v/>
      </c>
      <c r="J19" s="21" t="str">
        <f>IF(AND(回答用紙!$D$26=4,回答用紙!$I$26=6),"●","")</f>
        <v/>
      </c>
      <c r="K19" s="21" t="str">
        <f>IF(AND(回答用紙!$D$26=4,回答用紙!$I$26=7),"●","")</f>
        <v/>
      </c>
      <c r="L19" s="21" t="str">
        <f>IF(AND(回答用紙!$D$26=4,回答用紙!$I$26=8),"●","")</f>
        <v/>
      </c>
      <c r="M19" s="21" t="str">
        <f>IF(AND(回答用紙!$D$26=4,回答用紙!$I$26=9),"●","")</f>
        <v/>
      </c>
      <c r="N19" s="21" t="str">
        <f>IF(AND(回答用紙!$D$26=4,回答用紙!$I$26=10),"●","")</f>
        <v/>
      </c>
      <c r="O19" s="21" t="str">
        <f>IF(AND(回答用紙!$D$26=4,回答用紙!$I$26=11),"●","")</f>
        <v/>
      </c>
      <c r="P19" s="21" t="str">
        <f>IF(AND(回答用紙!$D$26=4,回答用紙!$I$26=12),"●","")</f>
        <v/>
      </c>
      <c r="Q19" s="21" t="str">
        <f>IF(AND(回答用紙!$D$26=4,回答用紙!$I$26=13),"●","")</f>
        <v/>
      </c>
      <c r="R19" s="21" t="str">
        <f>IF(AND(回答用紙!$D$26=4,回答用紙!$I$26=14),"●","")</f>
        <v/>
      </c>
      <c r="S19" s="21" t="str">
        <f>IF(AND(回答用紙!$D$26=4,回答用紙!$I$26=15),"●","")</f>
        <v/>
      </c>
      <c r="T19" s="21" t="str">
        <f>IF(AND(回答用紙!$D$26=4,回答用紙!$I$26=16),"●","")</f>
        <v/>
      </c>
      <c r="U19" s="21" t="str">
        <f>IF(AND(回答用紙!$D$26=4,回答用紙!$I$26=17),"●","")</f>
        <v/>
      </c>
      <c r="V19" s="21" t="str">
        <f>IF(AND(回答用紙!$D$26=4,回答用紙!$I$26=18),"●","")</f>
        <v/>
      </c>
      <c r="W19" s="21" t="str">
        <f>IF(AND(回答用紙!$D$26=4,回答用紙!$I$26=19),"●","")</f>
        <v/>
      </c>
      <c r="X19" s="21" t="str">
        <f>IF(AND(回答用紙!$D$26=4,回答用紙!$I$26=20),"●","")</f>
        <v/>
      </c>
      <c r="Y19" s="21" t="str">
        <f>IF(AND(回答用紙!$D$26=4,回答用紙!$I$26=21),"●","")</f>
        <v/>
      </c>
    </row>
    <row r="20" spans="2:25" ht="17.25" customHeight="1" x14ac:dyDescent="0.15">
      <c r="B20" s="36"/>
      <c r="C20" s="1">
        <v>3</v>
      </c>
      <c r="D20" s="21" t="str">
        <f>IF(AND(回答用紙!$D$26=3,回答用紙!$I$26=0),"●","")</f>
        <v/>
      </c>
      <c r="E20" s="21" t="str">
        <f>IF(AND(回答用紙!$D$26=3,回答用紙!$I$26=1),"●","")</f>
        <v/>
      </c>
      <c r="F20" s="21" t="str">
        <f>IF(AND(回答用紙!$D$26=3,回答用紙!$I$26=2),"●","")</f>
        <v/>
      </c>
      <c r="G20" s="21" t="str">
        <f>IF(AND(回答用紙!$D$26=3,回答用紙!$I$26=3),"●","")</f>
        <v/>
      </c>
      <c r="H20" s="21" t="str">
        <f>IF(AND(回答用紙!$D$26=3,回答用紙!$I$26=4),"●","")</f>
        <v/>
      </c>
      <c r="I20" s="21" t="str">
        <f>IF(AND(回答用紙!$D$26=3,回答用紙!$I$26=5),"●","")</f>
        <v/>
      </c>
      <c r="J20" s="21" t="str">
        <f>IF(AND(回答用紙!$D$26=3,回答用紙!$I$26=6),"●","")</f>
        <v/>
      </c>
      <c r="K20" s="21" t="str">
        <f>IF(AND(回答用紙!$D$26=3,回答用紙!$I$26=7),"●","")</f>
        <v/>
      </c>
      <c r="L20" s="21" t="str">
        <f>IF(AND(回答用紙!$D$26=3,回答用紙!$I$26=8),"●","")</f>
        <v/>
      </c>
      <c r="M20" s="21" t="str">
        <f>IF(AND(回答用紙!$D$26=3,回答用紙!$I$26=9),"●","")</f>
        <v/>
      </c>
      <c r="N20" s="21" t="str">
        <f>IF(AND(回答用紙!$D$26=3,回答用紙!$I$26=10),"●","")</f>
        <v/>
      </c>
      <c r="O20" s="21" t="str">
        <f>IF(AND(回答用紙!$D$26=3,回答用紙!$I$26=11),"●","")</f>
        <v/>
      </c>
      <c r="P20" s="21" t="str">
        <f>IF(AND(回答用紙!$D$26=3,回答用紙!$I$26=12),"●","")</f>
        <v/>
      </c>
      <c r="Q20" s="21" t="str">
        <f>IF(AND(回答用紙!$D$26=3,回答用紙!$I$26=13),"●","")</f>
        <v/>
      </c>
      <c r="R20" s="21" t="str">
        <f>IF(AND(回答用紙!$D$26=3,回答用紙!$I$26=14),"●","")</f>
        <v/>
      </c>
      <c r="S20" s="21" t="str">
        <f>IF(AND(回答用紙!$D$26=3,回答用紙!$I$26=15),"●","")</f>
        <v/>
      </c>
      <c r="T20" s="21" t="str">
        <f>IF(AND(回答用紙!$D$26=3,回答用紙!$I$26=16),"●","")</f>
        <v/>
      </c>
      <c r="U20" s="21" t="str">
        <f>IF(AND(回答用紙!$D$26=3,回答用紙!$I$26=17),"●","")</f>
        <v/>
      </c>
      <c r="V20" s="21" t="str">
        <f>IF(AND(回答用紙!$D$26=3,回答用紙!$I$26=18),"●","")</f>
        <v/>
      </c>
      <c r="W20" s="21" t="str">
        <f>IF(AND(回答用紙!$D$26=3,回答用紙!$I$26=19),"●","")</f>
        <v/>
      </c>
      <c r="X20" s="21" t="str">
        <f>IF(AND(回答用紙!$D$26=3,回答用紙!$I$26=20),"●","")</f>
        <v/>
      </c>
      <c r="Y20" s="21" t="str">
        <f>IF(AND(回答用紙!$D$26=3,回答用紙!$I$26=21),"●","")</f>
        <v/>
      </c>
    </row>
    <row r="21" spans="2:25" ht="17.25" customHeight="1" x14ac:dyDescent="0.15">
      <c r="B21" s="36"/>
      <c r="C21" s="1">
        <v>2</v>
      </c>
      <c r="D21" s="21" t="str">
        <f>IF(AND(回答用紙!$D$26=2,回答用紙!$I$26=0),"●","")</f>
        <v/>
      </c>
      <c r="E21" s="21" t="str">
        <f>IF(AND(回答用紙!$D$26=2,回答用紙!$I$26=1),"●","")</f>
        <v/>
      </c>
      <c r="F21" s="21" t="str">
        <f>IF(AND(回答用紙!$D$26=2,回答用紙!$I$26=2),"●","")</f>
        <v/>
      </c>
      <c r="G21" s="21" t="str">
        <f>IF(AND(回答用紙!$D$26=2,回答用紙!$I$26=3),"●","")</f>
        <v/>
      </c>
      <c r="H21" s="21" t="str">
        <f>IF(AND(回答用紙!$D$26=2,回答用紙!$I$26=4),"●","")</f>
        <v/>
      </c>
      <c r="I21" s="21" t="str">
        <f>IF(AND(回答用紙!$D$26=2,回答用紙!$I$26=5),"●","")</f>
        <v/>
      </c>
      <c r="J21" s="21" t="str">
        <f>IF(AND(回答用紙!$D$26=2,回答用紙!$I$26=6),"●","")</f>
        <v/>
      </c>
      <c r="K21" s="21" t="str">
        <f>IF(AND(回答用紙!$D$26=2,回答用紙!$I$26=7),"●","")</f>
        <v/>
      </c>
      <c r="L21" s="21" t="str">
        <f>IF(AND(回答用紙!$D$26=2,回答用紙!$I$26=8),"●","")</f>
        <v/>
      </c>
      <c r="M21" s="21" t="str">
        <f>IF(AND(回答用紙!$D$26=2,回答用紙!$I$26=9),"●","")</f>
        <v/>
      </c>
      <c r="N21" s="21" t="str">
        <f>IF(AND(回答用紙!$D$26=2,回答用紙!$I$26=10),"●","")</f>
        <v/>
      </c>
      <c r="O21" s="21" t="str">
        <f>IF(AND(回答用紙!$D$26=2,回答用紙!$I$26=11),"●","")</f>
        <v/>
      </c>
      <c r="P21" s="21" t="str">
        <f>IF(AND(回答用紙!$D$26=2,回答用紙!$I$26=12),"●","")</f>
        <v/>
      </c>
      <c r="Q21" s="21" t="str">
        <f>IF(AND(回答用紙!$D$26=2,回答用紙!$I$26=13),"●","")</f>
        <v/>
      </c>
      <c r="R21" s="21" t="str">
        <f>IF(AND(回答用紙!$D$26=2,回答用紙!$I$26=14),"●","")</f>
        <v/>
      </c>
      <c r="S21" s="21" t="str">
        <f>IF(AND(回答用紙!$D$26=2,回答用紙!$I$26=15),"●","")</f>
        <v/>
      </c>
      <c r="T21" s="21" t="str">
        <f>IF(AND(回答用紙!$D$26=2,回答用紙!$I$26=16),"●","")</f>
        <v/>
      </c>
      <c r="U21" s="21" t="str">
        <f>IF(AND(回答用紙!$D$26=2,回答用紙!$I$26=17),"●","")</f>
        <v/>
      </c>
      <c r="V21" s="21" t="str">
        <f>IF(AND(回答用紙!$D$26=2,回答用紙!$I$26=18),"●","")</f>
        <v/>
      </c>
      <c r="W21" s="21" t="str">
        <f>IF(AND(回答用紙!$D$26=2,回答用紙!$I$26=19),"●","")</f>
        <v/>
      </c>
      <c r="X21" s="21" t="str">
        <f>IF(AND(回答用紙!$D$26=2,回答用紙!$I$26=20),"●","")</f>
        <v/>
      </c>
      <c r="Y21" s="21" t="str">
        <f>IF(AND(回答用紙!$D$26=2,回答用紙!$I$26=21),"●","")</f>
        <v/>
      </c>
    </row>
    <row r="22" spans="2:25" ht="17.25" customHeight="1" x14ac:dyDescent="0.15">
      <c r="B22" s="36"/>
      <c r="C22" s="1">
        <v>1</v>
      </c>
      <c r="D22" s="21" t="str">
        <f>IF(AND(回答用紙!$D$26=1,回答用紙!$I$26=0),"●","")</f>
        <v/>
      </c>
      <c r="E22" s="21" t="str">
        <f>IF(AND(回答用紙!$D$26=1,回答用紙!$I$26=1),"●","")</f>
        <v/>
      </c>
      <c r="F22" s="21" t="str">
        <f>IF(AND(回答用紙!$D$26=1,回答用紙!$I$26=2),"●","")</f>
        <v/>
      </c>
      <c r="G22" s="21" t="str">
        <f>IF(AND(回答用紙!$D$26=1,回答用紙!$I$26=3),"●","")</f>
        <v/>
      </c>
      <c r="H22" s="21" t="str">
        <f>IF(AND(回答用紙!$D$26=1,回答用紙!$I$26=4),"●","")</f>
        <v/>
      </c>
      <c r="I22" s="21" t="str">
        <f>IF(AND(回答用紙!$D$26=1,回答用紙!$I$26=5),"●","")</f>
        <v/>
      </c>
      <c r="J22" s="21" t="str">
        <f>IF(AND(回答用紙!$D$26=1,回答用紙!$I$26=6),"●","")</f>
        <v/>
      </c>
      <c r="K22" s="21" t="str">
        <f>IF(AND(回答用紙!$D$26=1,回答用紙!$I$26=7),"●","")</f>
        <v/>
      </c>
      <c r="L22" s="21" t="str">
        <f>IF(AND(回答用紙!$D$26=1,回答用紙!$I$26=8),"●","")</f>
        <v/>
      </c>
      <c r="M22" s="21" t="str">
        <f>IF(AND(回答用紙!$D$26=1,回答用紙!$I$26=9),"●","")</f>
        <v/>
      </c>
      <c r="N22" s="21" t="str">
        <f>IF(AND(回答用紙!$D$26=1,回答用紙!$I$26=10),"●","")</f>
        <v/>
      </c>
      <c r="O22" s="21" t="str">
        <f>IF(AND(回答用紙!$D$26=1,回答用紙!$I$26=11),"●","")</f>
        <v/>
      </c>
      <c r="P22" s="21" t="str">
        <f>IF(AND(回答用紙!$D$26=1,回答用紙!$I$26=12),"●","")</f>
        <v/>
      </c>
      <c r="Q22" s="21" t="str">
        <f>IF(AND(回答用紙!$D$26=1,回答用紙!$I$26=13),"●","")</f>
        <v/>
      </c>
      <c r="R22" s="21" t="str">
        <f>IF(AND(回答用紙!$D$26=1,回答用紙!$I$26=14),"●","")</f>
        <v/>
      </c>
      <c r="S22" s="21" t="str">
        <f>IF(AND(回答用紙!$D$26=1,回答用紙!$I$26=15),"●","")</f>
        <v/>
      </c>
      <c r="T22" s="21" t="str">
        <f>IF(AND(回答用紙!$D$26=1,回答用紙!$I$26=16),"●","")</f>
        <v/>
      </c>
      <c r="U22" s="21" t="str">
        <f>IF(AND(回答用紙!$D$26=1,回答用紙!$I$26=17),"●","")</f>
        <v/>
      </c>
      <c r="V22" s="21" t="str">
        <f>IF(AND(回答用紙!$D$26=1,回答用紙!$I$26=18),"●","")</f>
        <v/>
      </c>
      <c r="W22" s="21" t="str">
        <f>IF(AND(回答用紙!$D$26=1,回答用紙!$I$26=19),"●","")</f>
        <v/>
      </c>
      <c r="X22" s="21" t="str">
        <f>IF(AND(回答用紙!$D$26=1,回答用紙!$I$26=20),"●","")</f>
        <v/>
      </c>
      <c r="Y22" s="21" t="str">
        <f>IF(AND(回答用紙!$D$26=1,回答用紙!$I$26=21),"●","")</f>
        <v/>
      </c>
    </row>
    <row r="23" spans="2:25" ht="17.25" customHeight="1" x14ac:dyDescent="0.15">
      <c r="B23" s="36"/>
      <c r="C23" s="1">
        <v>0</v>
      </c>
      <c r="D23" s="21"/>
      <c r="E23" s="21" t="str">
        <f>IF(AND(回答用紙!$D$26=0,回答用紙!$I$26=1),"●","")</f>
        <v/>
      </c>
      <c r="F23" s="21" t="str">
        <f>IF(AND(回答用紙!$D$26=0,回答用紙!$I$26=2),"●","")</f>
        <v/>
      </c>
      <c r="G23" s="21" t="str">
        <f>IF(AND(回答用紙!$D$26=0,回答用紙!$I$26=3),"●","")</f>
        <v/>
      </c>
      <c r="H23" s="21" t="str">
        <f>IF(AND(回答用紙!$D$26=0,回答用紙!$I$26=4),"●","")</f>
        <v/>
      </c>
      <c r="I23" s="21" t="str">
        <f>IF(AND(回答用紙!$D$26=0,回答用紙!$I$26=5),"●","")</f>
        <v/>
      </c>
      <c r="J23" s="21" t="str">
        <f>IF(AND(回答用紙!$D$26=0,回答用紙!$I$26=6),"●","")</f>
        <v/>
      </c>
      <c r="K23" s="21" t="str">
        <f>IF(AND(回答用紙!$D$26=0,回答用紙!$I$26=7),"●","")</f>
        <v/>
      </c>
      <c r="L23" s="21" t="str">
        <f>IF(AND(回答用紙!$D$26=0,回答用紙!$I$26=8),"●","")</f>
        <v/>
      </c>
      <c r="M23" s="21" t="str">
        <f>IF(AND(回答用紙!$D$26=0,回答用紙!$I$26=9),"●","")</f>
        <v/>
      </c>
      <c r="N23" s="21" t="str">
        <f>IF(AND(回答用紙!$D$26=0,回答用紙!$I$26=10),"●","")</f>
        <v/>
      </c>
      <c r="O23" s="21" t="str">
        <f>IF(AND(回答用紙!$D$26=0,回答用紙!$I$26=11),"●","")</f>
        <v/>
      </c>
      <c r="P23" s="21" t="str">
        <f>IF(AND(回答用紙!$D$26=0,回答用紙!$I$26=12),"●","")</f>
        <v/>
      </c>
      <c r="Q23" s="21" t="str">
        <f>IF(AND(回答用紙!$D$26=0,回答用紙!$I$26=13),"●","")</f>
        <v/>
      </c>
      <c r="R23" s="21" t="str">
        <f>IF(AND(回答用紙!$D$26=0,回答用紙!$I$26=14),"●","")</f>
        <v/>
      </c>
      <c r="S23" s="21" t="str">
        <f>IF(AND(回答用紙!$D$26=0,回答用紙!$I$26=15),"●","")</f>
        <v/>
      </c>
      <c r="T23" s="21" t="str">
        <f>IF(AND(回答用紙!$D$26=0,回答用紙!$I$26=16),"●","")</f>
        <v/>
      </c>
      <c r="U23" s="21" t="str">
        <f>IF(AND(回答用紙!$D$26=0,回答用紙!$I$26=17),"●","")</f>
        <v/>
      </c>
      <c r="V23" s="21" t="str">
        <f>IF(AND(回答用紙!$D$26=0,回答用紙!$I$26=18),"●","")</f>
        <v/>
      </c>
      <c r="W23" s="21" t="str">
        <f>IF(AND(回答用紙!$D$26=0,回答用紙!$I$26=19),"●","")</f>
        <v/>
      </c>
      <c r="X23" s="21" t="str">
        <f>IF(AND(回答用紙!$D$26=0,回答用紙!$I$26=20),"●","")</f>
        <v/>
      </c>
      <c r="Y23" s="21" t="str">
        <f>IF(AND(回答用紙!$D$26=0,回答用紙!$I$26=21),"●","")</f>
        <v/>
      </c>
    </row>
    <row r="24" spans="2:25" ht="17.25" customHeight="1" x14ac:dyDescent="0.15">
      <c r="B24" s="15"/>
      <c r="C24" s="16"/>
      <c r="D24" s="1">
        <v>0</v>
      </c>
      <c r="E24" s="1">
        <v>1</v>
      </c>
      <c r="F24" s="1">
        <v>2</v>
      </c>
      <c r="G24" s="1">
        <v>3</v>
      </c>
      <c r="H24" s="1">
        <v>4</v>
      </c>
      <c r="I24" s="1">
        <v>5</v>
      </c>
      <c r="J24" s="1">
        <v>6</v>
      </c>
      <c r="K24" s="1">
        <v>7</v>
      </c>
      <c r="L24" s="1">
        <v>8</v>
      </c>
      <c r="M24" s="1">
        <v>9</v>
      </c>
      <c r="N24" s="1">
        <v>10</v>
      </c>
      <c r="O24" s="1">
        <v>11</v>
      </c>
      <c r="P24" s="1">
        <v>12</v>
      </c>
      <c r="Q24" s="1">
        <v>13</v>
      </c>
      <c r="R24" s="1">
        <v>14</v>
      </c>
      <c r="S24" s="1">
        <v>15</v>
      </c>
      <c r="T24" s="1">
        <v>16</v>
      </c>
      <c r="U24" s="1">
        <v>17</v>
      </c>
      <c r="V24" s="1">
        <v>18</v>
      </c>
      <c r="W24" s="1">
        <v>19</v>
      </c>
      <c r="X24" s="1">
        <v>20</v>
      </c>
      <c r="Y24" s="1">
        <v>21</v>
      </c>
    </row>
    <row r="25" spans="2:25" ht="18" customHeight="1" x14ac:dyDescent="0.15">
      <c r="B25" s="17"/>
      <c r="C25" s="18"/>
      <c r="D25" s="37" t="s">
        <v>45</v>
      </c>
      <c r="E25" s="38"/>
      <c r="F25" s="38"/>
      <c r="G25" s="38"/>
      <c r="H25" s="38"/>
      <c r="I25" s="38"/>
      <c r="J25" s="38"/>
      <c r="K25" s="38"/>
      <c r="L25" s="38"/>
      <c r="M25" s="38"/>
      <c r="N25" s="38"/>
      <c r="O25" s="38"/>
      <c r="P25" s="38"/>
      <c r="Q25" s="38"/>
      <c r="R25" s="38"/>
      <c r="S25" s="38"/>
      <c r="T25" s="38"/>
      <c r="U25" s="38"/>
      <c r="V25" s="38"/>
      <c r="W25" s="38"/>
      <c r="X25" s="38"/>
      <c r="Y25" s="39"/>
    </row>
    <row r="60" spans="3:3" x14ac:dyDescent="0.15">
      <c r="C60" t="s">
        <v>53</v>
      </c>
    </row>
  </sheetData>
  <mergeCells count="2">
    <mergeCell ref="B2:B23"/>
    <mergeCell ref="D25:Y25"/>
  </mergeCells>
  <phoneticPr fontId="3"/>
  <pageMargins left="0.97" right="0.38" top="0.5" bottom="0.28000000000000003" header="0.3" footer="0.2"/>
  <pageSetup paperSize="9" scale="12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回答用紙</vt:lpstr>
      <vt:lpstr>回答用紙 (2)</vt:lpstr>
      <vt:lpstr>マッピング</vt:lpstr>
      <vt:lpstr>マッピング!Print_Area</vt:lpstr>
      <vt:lpstr>回答用紙!Print_Area</vt:lpstr>
      <vt:lpstr>'回答用紙 (2)'!Print_Area</vt:lpstr>
    </vt:vector>
  </TitlesOfParts>
  <Company>経営改革・ＩＴ本部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405386</dc:creator>
  <cp:lastModifiedBy>admin</cp:lastModifiedBy>
  <cp:lastPrinted>2020-06-25T06:58:58Z</cp:lastPrinted>
  <dcterms:created xsi:type="dcterms:W3CDTF">2012-11-27T03:53:14Z</dcterms:created>
  <dcterms:modified xsi:type="dcterms:W3CDTF">2023-05-19T00:33:16Z</dcterms:modified>
</cp:coreProperties>
</file>